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0yJNEAbEZWo5yHEiQN+MMqg5azb82goQwNWqPvqKM6VR2/9S3TxoTLjWuFcHUOLSdz39vmozWTQbJk2vAfioA==" workbookSaltValue="0Lqx4b6RjiAzoeiyBo/F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BF17" i="8" l="1"/>
  <c r="R13" i="17"/>
  <c r="P13" i="14"/>
  <c r="F11" i="16"/>
  <c r="BL11" i="16" s="1"/>
  <c r="BG17" i="13"/>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0" i="12"/>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<sst xmlns="http://schemas.openxmlformats.org/spreadsheetml/2006/main" count="2682" uniqueCount="1192">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</sst>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UfXYvMdEs3L8sfM6Ycr/aTQ44URbEe3/kkJ+LP03w8YF0Jxd0ccIQafyXf4pIYHtfF4K8EDHLYboZz5rWVUvQ==" saltValue="VqOfoO+hpmpeYNROdYrM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78</v>
      </c>
      <c r="D10" s="239">
        <f>IF(ISNUMBER(Datos!I10),Datos!I10," - ")</f>
        <v>78</v>
      </c>
      <c r="E10" s="240">
        <f>IF(ISNUMBER(Datos!J10),Datos!J10," - ")</f>
        <v>15</v>
      </c>
      <c r="F10" s="240">
        <f>IF(ISNUMBER(Datos!K10),Datos!K10," - ")</f>
        <v>11</v>
      </c>
      <c r="G10" s="1390" t="str">
        <f>IF(Datos!E10&lt;&gt;"",Datos!E10,Datos!D10)</f>
        <v>37</v>
      </c>
      <c r="H10" s="241">
        <f>IF(ISNUMBER(Datos!L10),Datos!L10," - ")</f>
        <v>82</v>
      </c>
      <c r="I10" s="1400" t="str">
        <f>IF(ISNUMBER(Datos!AS10/Datos!BM10),Datos!AS10/Datos!BM10," - ")</f>
        <v xml:space="preserve"> - </v>
      </c>
      <c r="J10" s="1401">
        <f>IF(ISNUMBER(Datos!BY10/Datos!CN10),Datos!BY10/Datos!CN10," - ")</f>
        <v>0</v>
      </c>
      <c r="K10" s="244">
        <f t="shared" ref="K10:K13" si="1">IF(ISNUMBER((E10-F10)/C10),(E10-F10)/C10," - ")</f>
        <v>5.128205128205128E-2</v>
      </c>
      <c r="L10" s="1402">
        <f>IF(ISNUMBER(NºAsuntos!I10/NºAsuntos!G10),(NºAsuntos!I10/NºAsuntos!G10)*11," - ")</f>
        <v>82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38.804117647058824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78</v>
      </c>
      <c r="D14" s="1407">
        <f>SUBTOTAL(9,D9:D13)</f>
        <v>78</v>
      </c>
      <c r="E14" s="1408">
        <f>SUBTOTAL(9,E9:E13)</f>
        <v>15</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1613</v>
      </c>
      <c r="D17" s="239">
        <f>IF(ISNUMBER(IF(D_I="SI",Datos!I17,Datos!I17+Datos!AC17)),IF(D_I="SI",Datos!I17,Datos!I17+Datos!AC17)," - ")</f>
        <v>1357</v>
      </c>
      <c r="E17" s="240">
        <f>IF(ISNUMBER(IF(D_I="SI",Datos!J17,Datos!J17+Datos!AD17)),IF(D_I="SI",Datos!J17,Datos!J17+Datos!AD17)," - ")</f>
        <v>1630</v>
      </c>
      <c r="F17" s="240">
        <f>IF(ISNUMBER(IF(D_I="SI",Datos!K17,Datos!K17+Datos!AE17)),IF(D_I="SI",Datos!K17,Datos!K17+Datos!AE17)," - ")</f>
        <v>1670</v>
      </c>
      <c r="G17" s="1390" t="str">
        <f>IF(Datos!E17&lt;&gt;"",Datos!E17,Datos!D17)</f>
        <v>04</v>
      </c>
      <c r="H17" s="241">
        <f>IF(ISNUMBER(IF(D_I="SI",Datos!L17,Datos!L17+Datos!AF17)),IF(D_I="SI",Datos!L17,Datos!L17+Datos!AF17)," - ")</f>
        <v>1573</v>
      </c>
      <c r="I17" s="1400" t="str">
        <f>IF(ISNUMBER(Datos!AS17/Datos!BM17),Datos!AS17/Datos!BM17," - ")</f>
        <v xml:space="preserve"> - </v>
      </c>
      <c r="J17" s="1401">
        <f>IF(ISNUMBER(Datos!BY17/Datos!CN17),Datos!BY17/Datos!CN17," - ")</f>
        <v>0</v>
      </c>
      <c r="K17" s="244">
        <f t="shared" si="3"/>
        <v>-2.4798512089274645E-2</v>
      </c>
      <c r="L17" s="1402">
        <f>IF(ISNUMBER(NºAsuntos!I17/NºAsuntos!G17),(NºAsuntos!I17/NºAsuntos!G17)*11," - ")</f>
        <v>10.361077844311378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236</v>
      </c>
      <c r="D18" s="239">
        <f>IF(ISNUMBER(IF(D_I="SI",Datos!I18,Datos!I18+Datos!AC18)),IF(D_I="SI",Datos!I18,Datos!I18+Datos!AC18)," - ")</f>
        <v>234</v>
      </c>
      <c r="E18" s="240">
        <f>IF(ISNUMBER(IF(D_I="SI",Datos!J18,Datos!J18+Datos!AD18)),IF(D_I="SI",Datos!J18,Datos!J18+Datos!AD18)," - ")</f>
        <v>224</v>
      </c>
      <c r="F18" s="240">
        <f>IF(ISNUMBER(IF(D_I="SI",Datos!K18,Datos!K18+Datos!AE18)),IF(D_I="SI",Datos!K18,Datos!K18+Datos!AE18)," - ")</f>
        <v>237</v>
      </c>
      <c r="G18" s="1390" t="str">
        <f>IF(Datos!E18&lt;&gt;"",Datos!E18,Datos!D18)</f>
        <v>37</v>
      </c>
      <c r="H18" s="241">
        <f>IF(ISNUMBER(IF(D_I="SI",Datos!L18,Datos!L18+Datos!AF18)),IF(D_I="SI",Datos!L18,Datos!L18+Datos!AF18)," - ")</f>
        <v>223</v>
      </c>
      <c r="I18" s="1400" t="str">
        <f>IF(ISNUMBER(Datos!AS18/Datos!BM18),Datos!AS18/Datos!BM18," - ")</f>
        <v xml:space="preserve"> - </v>
      </c>
      <c r="J18" s="1401" t="str">
        <f>IF(ISNUMBER((Datos!BY18+Datos!BZ18)/Datos!CN18),(Datos!BY18+Datos!BZ18)/Datos!CN18," - ")</f>
        <v xml:space="preserve"> - </v>
      </c>
      <c r="K18" s="244">
        <f t="shared" si="3"/>
        <v>-5.5084745762711863E-2</v>
      </c>
      <c r="L18" s="1402">
        <f>IF(ISNUMBER(NºAsuntos!I18/NºAsuntos!G18),(NºAsuntos!I18/NºAsuntos!G18)*11," - ")</f>
        <v>10.350210970464136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1849</v>
      </c>
      <c r="D23" s="1407">
        <f>SUBTOTAL(9,D16:D22)</f>
        <v>1591</v>
      </c>
      <c r="E23" s="1408">
        <f>SUBTOTAL(9,E16:E22)</f>
        <v>1854</v>
      </c>
      <c r="F23" s="1408">
        <f>SUBTOTAL(9,F16:F22)</f>
        <v>1907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1927</v>
      </c>
      <c r="D31" s="1435">
        <f>SUBTOTAL(9,D9:D30)</f>
        <v>1669</v>
      </c>
      <c r="E31" s="1436">
        <f>SUBTOTAL(9,E9:E30)</f>
        <v>1869</v>
      </c>
      <c r="F31" s="1436">
        <f>SUBTOTAL(9,F9:F30)</f>
        <v>1918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6htoTR6xGAhMcQ2RTdUAsVBd25vc+LfWOrXHvmtzU9+OGwomRHEFngfNztHE9lWCi5T8kyKKRpDr9YLGL+/xA==" saltValue="f2PtmF93AEwfjGL8eNQy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rPX5nMDJlevbtB9mBu4uQIxNNl5HiPPrKEiRRzUK6kjAJh3LJwupSth5mJls7LK5dSEEj8eEr0EezGYIoIviA==" saltValue="tS5gUjPpOjfegQ4t73ev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78</v>
      </c>
      <c r="J10" s="194">
        <v>15</v>
      </c>
      <c r="K10" s="194">
        <v>11</v>
      </c>
      <c r="L10" s="194">
        <v>82</v>
      </c>
      <c r="M10" s="194">
        <v>4</v>
      </c>
      <c r="N10" s="194">
        <v>4</v>
      </c>
      <c r="O10" s="194">
        <v>2</v>
      </c>
      <c r="P10" s="194">
        <v>7</v>
      </c>
      <c r="Q10" s="194">
        <v>2</v>
      </c>
      <c r="R10" s="194">
        <v>88</v>
      </c>
      <c r="S10" s="194">
        <v>72</v>
      </c>
      <c r="T10" s="194">
        <v>17</v>
      </c>
      <c r="U10" s="194">
        <v>17</v>
      </c>
      <c r="V10" s="194">
        <v>72</v>
      </c>
      <c r="W10" s="194">
        <v>10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72</v>
      </c>
      <c r="AZ10" s="139">
        <f t="shared" si="0"/>
        <v>17</v>
      </c>
      <c r="BA10" s="139">
        <f t="shared" si="0"/>
        <v>17</v>
      </c>
      <c r="BB10" s="139">
        <f t="shared" si="0"/>
        <v>72</v>
      </c>
      <c r="BC10" s="135">
        <f t="shared" si="0"/>
        <v>10</v>
      </c>
      <c r="BD10" s="136">
        <f>IF(ISNUMBER(BA10/AZ10),BA10/AZ10," - ")</f>
        <v>1</v>
      </c>
      <c r="BE10" s="137">
        <f>IF(ISNUMBER(BB10/BA10),BB10/BA10, " - ")</f>
        <v>4.2352941176470589</v>
      </c>
      <c r="BF10" s="137">
        <f>IF(ISNUMBER(BC10/BA10),BC10/BA10, " - ")</f>
        <v>0.58823529411764708</v>
      </c>
      <c r="BG10" s="209">
        <f>IF(ISNUMBER((AY10+AZ10)/BA10),(AY10+AZ10)/BA10," - ")</f>
        <v>5.2352941176470589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4886</v>
      </c>
      <c r="J12" s="196">
        <v>1692</v>
      </c>
      <c r="K12" s="196">
        <v>1391</v>
      </c>
      <c r="L12" s="196">
        <v>5505</v>
      </c>
      <c r="M12" s="196">
        <v>344</v>
      </c>
      <c r="N12" s="196">
        <v>786</v>
      </c>
      <c r="O12" s="194">
        <v>465</v>
      </c>
      <c r="P12" s="196">
        <v>314</v>
      </c>
      <c r="Q12" s="196">
        <v>198</v>
      </c>
      <c r="R12" s="196">
        <v>7443</v>
      </c>
      <c r="S12" s="196">
        <v>4060</v>
      </c>
      <c r="T12" s="196">
        <v>1442</v>
      </c>
      <c r="U12" s="196">
        <v>1633</v>
      </c>
      <c r="V12" s="196">
        <v>3886</v>
      </c>
      <c r="W12" s="196">
        <v>320</v>
      </c>
      <c r="X12" s="202">
        <v>974</v>
      </c>
      <c r="Y12" s="204">
        <v>493</v>
      </c>
      <c r="Z12" s="194">
        <v>285</v>
      </c>
      <c r="AA12" s="194">
        <v>309</v>
      </c>
      <c r="AB12" s="194">
        <v>492</v>
      </c>
      <c r="AC12" s="196">
        <v>0</v>
      </c>
      <c r="AD12" s="196">
        <v>0</v>
      </c>
      <c r="AE12" s="196">
        <v>0</v>
      </c>
      <c r="AF12" s="202">
        <v>0</v>
      </c>
      <c r="AG12" s="215">
        <v>303</v>
      </c>
      <c r="AH12" s="196">
        <v>299</v>
      </c>
      <c r="AI12" s="196">
        <v>354</v>
      </c>
      <c r="AJ12" s="216">
        <v>248</v>
      </c>
      <c r="AK12" s="195">
        <v>0</v>
      </c>
      <c r="AL12" s="196">
        <v>0</v>
      </c>
      <c r="AM12" s="196">
        <v>0</v>
      </c>
      <c r="AN12" s="202">
        <v>0</v>
      </c>
      <c r="AO12" s="283">
        <v>7</v>
      </c>
      <c r="AP12" s="168">
        <v>7</v>
      </c>
      <c r="AQ12" s="168">
        <v>7</v>
      </c>
      <c r="AR12" s="167">
        <v>7</v>
      </c>
      <c r="AS12" s="381" t="s">
        <v>1075</v>
      </c>
      <c r="AT12" s="216"/>
      <c r="AU12" s="215"/>
      <c r="AV12" s="216"/>
      <c r="AW12" s="215"/>
      <c r="AX12" s="216"/>
      <c r="AY12" s="136">
        <f t="shared" si="1"/>
        <v>4363</v>
      </c>
      <c r="AZ12" s="137">
        <f t="shared" si="1"/>
        <v>1741</v>
      </c>
      <c r="BA12" s="137">
        <f t="shared" si="1"/>
        <v>1987</v>
      </c>
      <c r="BB12" s="137">
        <f t="shared" si="1"/>
        <v>4134</v>
      </c>
      <c r="BC12" s="135">
        <f>IF(ISNUMBER(X12),X12," - ")</f>
        <v>974</v>
      </c>
      <c r="BD12" s="136">
        <f t="shared" si="2"/>
        <v>1.141298104537622</v>
      </c>
      <c r="BE12" s="137">
        <f t="shared" si="3"/>
        <v>2.0805234021137391</v>
      </c>
      <c r="BF12" s="137">
        <f t="shared" si="4"/>
        <v>0.49018621036738802</v>
      </c>
      <c r="BG12" s="209">
        <f t="shared" si="5"/>
        <v>3.0719677906391545</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4964</v>
      </c>
      <c r="J14" s="197">
        <f t="shared" si="7"/>
        <v>1707</v>
      </c>
      <c r="K14" s="197">
        <f t="shared" si="7"/>
        <v>1402</v>
      </c>
      <c r="L14" s="197">
        <f t="shared" si="7"/>
        <v>5587</v>
      </c>
      <c r="M14" s="197">
        <f t="shared" si="7"/>
        <v>348</v>
      </c>
      <c r="N14" s="197">
        <f t="shared" si="7"/>
        <v>790</v>
      </c>
      <c r="O14" s="197">
        <f t="shared" si="7"/>
        <v>467</v>
      </c>
      <c r="P14" s="197">
        <f t="shared" si="7"/>
        <v>321</v>
      </c>
      <c r="Q14" s="197">
        <f t="shared" si="7"/>
        <v>200</v>
      </c>
      <c r="R14" s="197">
        <f t="shared" si="7"/>
        <v>7531</v>
      </c>
      <c r="S14" s="197">
        <f t="shared" si="7"/>
        <v>4132</v>
      </c>
      <c r="T14" s="197">
        <f t="shared" si="7"/>
        <v>1459</v>
      </c>
      <c r="U14" s="197">
        <f t="shared" si="7"/>
        <v>1650</v>
      </c>
      <c r="V14" s="197">
        <f t="shared" si="7"/>
        <v>3958</v>
      </c>
      <c r="W14" s="197">
        <f t="shared" si="7"/>
        <v>330</v>
      </c>
      <c r="X14" s="197">
        <f t="shared" si="7"/>
        <v>974</v>
      </c>
      <c r="Y14" s="197">
        <f t="shared" si="7"/>
        <v>493</v>
      </c>
      <c r="Z14" s="197">
        <f t="shared" si="7"/>
        <v>285</v>
      </c>
      <c r="AA14" s="197">
        <f t="shared" si="7"/>
        <v>309</v>
      </c>
      <c r="AB14" s="197">
        <f t="shared" si="7"/>
        <v>492</v>
      </c>
      <c r="AC14" s="197">
        <f t="shared" si="7"/>
        <v>0</v>
      </c>
      <c r="AD14" s="197">
        <f t="shared" si="7"/>
        <v>0</v>
      </c>
      <c r="AE14" s="197">
        <f t="shared" si="7"/>
        <v>0</v>
      </c>
      <c r="AF14" s="197">
        <f>SUBTOTAL(9,AF9:AF13)</f>
        <v>0</v>
      </c>
      <c r="AG14" s="197">
        <f t="shared" ref="AG14:AT14" si="8">SUBTOTAL(9,AG8:AG13)</f>
        <v>303</v>
      </c>
      <c r="AH14" s="197">
        <f t="shared" si="8"/>
        <v>299</v>
      </c>
      <c r="AI14" s="197">
        <f t="shared" si="8"/>
        <v>354</v>
      </c>
      <c r="AJ14" s="197">
        <f t="shared" si="8"/>
        <v>248</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4435</v>
      </c>
      <c r="AZ14" s="197">
        <f>SUBTOTAL(9,AZ8:AZ13)</f>
        <v>1758</v>
      </c>
      <c r="BA14" s="197">
        <f>SUBTOTAL(9,BA8:BA13)</f>
        <v>2004</v>
      </c>
      <c r="BB14" s="197">
        <f>SUBTOTAL(9,BB8:BB13)</f>
        <v>4206</v>
      </c>
      <c r="BC14" s="197">
        <f>SUBTOTAL(9,BC8:BC13)</f>
        <v>984</v>
      </c>
      <c r="BD14" s="219">
        <f>IF(ISNUMBER(BA14/AZ14),BA14/AZ14," - ")</f>
        <v>1.1399317406143346</v>
      </c>
      <c r="BE14" s="220">
        <f>IF(ISNUMBER(BB14/BA14),BB14/BA14, " - ")</f>
        <v>2.0988023952095807</v>
      </c>
      <c r="BF14" s="220">
        <f>IF(ISNUMBER(BC14/BA14),BC14/BA14, " - ")</f>
        <v>0.49101796407185627</v>
      </c>
      <c r="BG14" s="221">
        <f>IF(ISNUMBER((AY14+AZ14)/BA14),(AY14+AZ14)/BA14," - ")</f>
        <v>3.0903193612774453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1357</v>
      </c>
      <c r="J17" s="196">
        <v>1630</v>
      </c>
      <c r="K17" s="196">
        <v>1670</v>
      </c>
      <c r="L17" s="196">
        <v>1573</v>
      </c>
      <c r="M17" s="196">
        <v>336</v>
      </c>
      <c r="N17" s="196">
        <v>975</v>
      </c>
      <c r="O17" s="194">
        <v>41</v>
      </c>
      <c r="P17" s="196">
        <v>97</v>
      </c>
      <c r="Q17" s="196">
        <v>97</v>
      </c>
      <c r="R17" s="196">
        <v>551</v>
      </c>
      <c r="S17" s="196">
        <v>1177</v>
      </c>
      <c r="T17" s="196">
        <v>1389</v>
      </c>
      <c r="U17" s="196">
        <v>1344</v>
      </c>
      <c r="V17" s="196">
        <v>1251</v>
      </c>
      <c r="W17" s="196">
        <v>258</v>
      </c>
      <c r="X17" s="202">
        <v>747</v>
      </c>
      <c r="Y17" s="215">
        <v>0</v>
      </c>
      <c r="Z17" s="196">
        <v>0</v>
      </c>
      <c r="AA17" s="196">
        <v>0</v>
      </c>
      <c r="AB17" s="196">
        <v>0</v>
      </c>
      <c r="AC17" s="196">
        <v>28</v>
      </c>
      <c r="AD17" s="196">
        <v>54</v>
      </c>
      <c r="AE17" s="196">
        <v>51</v>
      </c>
      <c r="AF17" s="202">
        <v>31</v>
      </c>
      <c r="AG17" s="215">
        <v>0</v>
      </c>
      <c r="AH17" s="196">
        <v>0</v>
      </c>
      <c r="AI17" s="196">
        <v>0</v>
      </c>
      <c r="AJ17" s="216">
        <v>0</v>
      </c>
      <c r="AK17" s="195">
        <v>34</v>
      </c>
      <c r="AL17" s="196">
        <v>35</v>
      </c>
      <c r="AM17" s="196">
        <v>48</v>
      </c>
      <c r="AN17" s="202">
        <v>21</v>
      </c>
      <c r="AO17" s="283">
        <v>7</v>
      </c>
      <c r="AP17" s="168">
        <v>7</v>
      </c>
      <c r="AQ17" s="168">
        <v>7</v>
      </c>
      <c r="AR17" s="168">
        <v>7</v>
      </c>
      <c r="AS17" s="381" t="s">
        <v>650</v>
      </c>
      <c r="AT17" s="216"/>
      <c r="AU17" s="215"/>
      <c r="AV17" s="216"/>
      <c r="AW17" s="215"/>
      <c r="AX17" s="216"/>
      <c r="AY17" s="136">
        <f t="shared" si="10"/>
        <v>1177</v>
      </c>
      <c r="AZ17" s="137">
        <f t="shared" si="10"/>
        <v>1389</v>
      </c>
      <c r="BA17" s="137">
        <f t="shared" si="10"/>
        <v>1344</v>
      </c>
      <c r="BB17" s="137">
        <f t="shared" si="10"/>
        <v>1251</v>
      </c>
      <c r="BC17" s="135">
        <f>IF(ISNUMBER(W17),W17," - ")</f>
        <v>258</v>
      </c>
      <c r="BD17" s="136">
        <f t="shared" ref="BD17:BD22" si="12">IF(ISNUMBER(BA17/AZ17),BA17/AZ17," - ")</f>
        <v>0.96760259179265662</v>
      </c>
      <c r="BE17" s="137">
        <f t="shared" ref="BE17:BE22" si="13">IF(ISNUMBER(BB17/BA17),BB17/BA17, " - ")</f>
        <v>0.9308035714285714</v>
      </c>
      <c r="BF17" s="137">
        <f t="shared" ref="BF17:BF22" si="14">IF(ISNUMBER(BC17/BA17),BC17/BA17, " - ")</f>
        <v>0.19196428571428573</v>
      </c>
      <c r="BG17" s="209">
        <f t="shared" si="11"/>
        <v>1.9092261904761905</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234</v>
      </c>
      <c r="J18" s="196">
        <v>224</v>
      </c>
      <c r="K18" s="196">
        <v>237</v>
      </c>
      <c r="L18" s="196">
        <v>223</v>
      </c>
      <c r="M18" s="196">
        <v>14</v>
      </c>
      <c r="N18" s="196">
        <v>184</v>
      </c>
      <c r="O18" s="196">
        <v>2</v>
      </c>
      <c r="P18" s="196">
        <v>2</v>
      </c>
      <c r="Q18" s="196">
        <v>2</v>
      </c>
      <c r="R18" s="196">
        <v>0</v>
      </c>
      <c r="S18" s="196">
        <v>68</v>
      </c>
      <c r="T18" s="196">
        <v>95</v>
      </c>
      <c r="U18" s="196">
        <v>52</v>
      </c>
      <c r="V18" s="196">
        <v>111</v>
      </c>
      <c r="W18" s="196">
        <v>7</v>
      </c>
      <c r="X18" s="202">
        <v>41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68</v>
      </c>
      <c r="AZ18" s="139">
        <f t="shared" si="15"/>
        <v>95</v>
      </c>
      <c r="BA18" s="139">
        <f t="shared" si="15"/>
        <v>52</v>
      </c>
      <c r="BB18" s="139">
        <f t="shared" si="15"/>
        <v>111</v>
      </c>
      <c r="BC18" s="135">
        <f>IF(ISNUMBER(W18),W18," - ")</f>
        <v>7</v>
      </c>
      <c r="BD18" s="136">
        <f>IF(ISNUMBER(BA18/AZ18),BA18/AZ18," - ")</f>
        <v>0.54736842105263162</v>
      </c>
      <c r="BE18" s="137">
        <f>IF(ISNUMBER(BB18/BA18),BB18/BA18, " - ")</f>
        <v>2.1346153846153846</v>
      </c>
      <c r="BF18" s="137">
        <f>IF(ISNUMBER(BC18/BA18),BC18/BA18, " - ")</f>
        <v>0.13461538461538461</v>
      </c>
      <c r="BG18" s="209">
        <f>IF(ISNUMBER((AY18+AZ18)/BA18),(AY18+AZ18)/BA18," - ")</f>
        <v>3.1346153846153846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1591</v>
      </c>
      <c r="J23" s="197">
        <f t="shared" si="21"/>
        <v>1854</v>
      </c>
      <c r="K23" s="197">
        <f t="shared" si="21"/>
        <v>1907</v>
      </c>
      <c r="L23" s="197">
        <f t="shared" si="21"/>
        <v>1796</v>
      </c>
      <c r="M23" s="197">
        <f t="shared" si="21"/>
        <v>350</v>
      </c>
      <c r="N23" s="197">
        <f t="shared" si="21"/>
        <v>1159</v>
      </c>
      <c r="O23" s="197">
        <f t="shared" si="21"/>
        <v>43</v>
      </c>
      <c r="P23" s="197">
        <f t="shared" si="21"/>
        <v>99</v>
      </c>
      <c r="Q23" s="197">
        <f t="shared" si="21"/>
        <v>99</v>
      </c>
      <c r="R23" s="197">
        <f t="shared" si="21"/>
        <v>551</v>
      </c>
      <c r="S23" s="197">
        <f t="shared" si="21"/>
        <v>1245</v>
      </c>
      <c r="T23" s="197">
        <f t="shared" si="21"/>
        <v>1484</v>
      </c>
      <c r="U23" s="197">
        <f t="shared" si="21"/>
        <v>1396</v>
      </c>
      <c r="V23" s="197">
        <f t="shared" si="21"/>
        <v>1362</v>
      </c>
      <c r="W23" s="197">
        <f t="shared" si="21"/>
        <v>265</v>
      </c>
      <c r="X23" s="197">
        <f t="shared" si="21"/>
        <v>788</v>
      </c>
      <c r="Y23" s="197">
        <f t="shared" si="21"/>
        <v>0</v>
      </c>
      <c r="Z23" s="197">
        <f t="shared" si="21"/>
        <v>0</v>
      </c>
      <c r="AA23" s="197">
        <f t="shared" si="21"/>
        <v>0</v>
      </c>
      <c r="AB23" s="197">
        <f t="shared" si="21"/>
        <v>0</v>
      </c>
      <c r="AC23" s="197">
        <f t="shared" si="21"/>
        <v>28</v>
      </c>
      <c r="AD23" s="197">
        <f t="shared" si="21"/>
        <v>54</v>
      </c>
      <c r="AE23" s="197">
        <f t="shared" si="21"/>
        <v>51</v>
      </c>
      <c r="AF23" s="197">
        <f t="shared" si="21"/>
        <v>31</v>
      </c>
      <c r="AG23" s="197">
        <f t="shared" si="21"/>
        <v>0</v>
      </c>
      <c r="AH23" s="197">
        <f t="shared" si="21"/>
        <v>0</v>
      </c>
      <c r="AI23" s="197">
        <f t="shared" si="21"/>
        <v>0</v>
      </c>
      <c r="AJ23" s="197">
        <f t="shared" si="21"/>
        <v>0</v>
      </c>
      <c r="AK23" s="197">
        <f t="shared" si="21"/>
        <v>34</v>
      </c>
      <c r="AL23" s="197">
        <f t="shared" si="21"/>
        <v>35</v>
      </c>
      <c r="AM23" s="197">
        <f t="shared" si="21"/>
        <v>48</v>
      </c>
      <c r="AN23" s="197">
        <f t="shared" si="21"/>
        <v>21</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1245</v>
      </c>
      <c r="AZ23" s="197">
        <f>SUBTOTAL(9,AZ15:AZ22)</f>
        <v>1484</v>
      </c>
      <c r="BA23" s="197">
        <f>SUBTOTAL(9,BA15:BA22)</f>
        <v>1396</v>
      </c>
      <c r="BB23" s="197">
        <f>SUBTOTAL(9,BB15:BB22)</f>
        <v>1362</v>
      </c>
      <c r="BC23" s="197">
        <f>SUBTOTAL(9,BC15:BC22)</f>
        <v>265</v>
      </c>
      <c r="BD23" s="219">
        <f>IF(ISNUMBER(BA23/AZ23),BA23/AZ23," - ")</f>
        <v>0.94070080862533689</v>
      </c>
      <c r="BE23" s="220">
        <f>IF(ISNUMBER(BB23/BA23),BB23/BA23, " - ")</f>
        <v>0.97564469914040119</v>
      </c>
      <c r="BF23" s="220">
        <f>IF(ISNUMBER(BC23/BA23),BC23/BA23, " - ")</f>
        <v>0.18982808022922637</v>
      </c>
      <c r="BG23" s="221">
        <f>IF(ISNUMBER((AY23+AZ23)/BA23),(AY23+AZ23)/BA23," - ")</f>
        <v>1.9548710601719197</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6555</v>
      </c>
      <c r="J31" s="144">
        <f t="shared" si="36"/>
        <v>3561</v>
      </c>
      <c r="K31" s="144">
        <f t="shared" si="36"/>
        <v>3309</v>
      </c>
      <c r="L31" s="144">
        <f t="shared" si="36"/>
        <v>7383</v>
      </c>
      <c r="M31" s="144">
        <f t="shared" si="36"/>
        <v>698</v>
      </c>
      <c r="N31" s="144">
        <f t="shared" si="36"/>
        <v>1949</v>
      </c>
      <c r="O31" s="144">
        <f t="shared" si="36"/>
        <v>510</v>
      </c>
      <c r="P31" s="144">
        <f t="shared" si="36"/>
        <v>420</v>
      </c>
      <c r="Q31" s="144">
        <f t="shared" si="36"/>
        <v>299</v>
      </c>
      <c r="R31" s="144">
        <f t="shared" si="36"/>
        <v>8082</v>
      </c>
      <c r="S31" s="144">
        <f t="shared" si="36"/>
        <v>5377</v>
      </c>
      <c r="T31" s="144">
        <f t="shared" si="36"/>
        <v>2943</v>
      </c>
      <c r="U31" s="144">
        <f t="shared" si="36"/>
        <v>3046</v>
      </c>
      <c r="V31" s="144">
        <f t="shared" si="36"/>
        <v>5320</v>
      </c>
      <c r="W31" s="144">
        <f t="shared" si="36"/>
        <v>595</v>
      </c>
      <c r="X31" s="144">
        <f t="shared" si="36"/>
        <v>1762</v>
      </c>
      <c r="Y31" s="144">
        <f t="shared" si="36"/>
        <v>493</v>
      </c>
      <c r="Z31" s="144">
        <f t="shared" si="36"/>
        <v>285</v>
      </c>
      <c r="AA31" s="144">
        <f t="shared" si="36"/>
        <v>309</v>
      </c>
      <c r="AB31" s="144">
        <f t="shared" si="36"/>
        <v>492</v>
      </c>
      <c r="AC31" s="144">
        <f t="shared" si="36"/>
        <v>28</v>
      </c>
      <c r="AD31" s="144">
        <f t="shared" si="36"/>
        <v>54</v>
      </c>
      <c r="AE31" s="144">
        <f t="shared" si="36"/>
        <v>51</v>
      </c>
      <c r="AF31" s="144">
        <f t="shared" si="36"/>
        <v>31</v>
      </c>
      <c r="AG31" s="144">
        <f t="shared" si="36"/>
        <v>303</v>
      </c>
      <c r="AH31" s="144">
        <f t="shared" si="36"/>
        <v>299</v>
      </c>
      <c r="AI31" s="144">
        <f t="shared" si="36"/>
        <v>354</v>
      </c>
      <c r="AJ31" s="144">
        <f t="shared" si="36"/>
        <v>248</v>
      </c>
      <c r="AK31" s="144">
        <f t="shared" si="36"/>
        <v>34</v>
      </c>
      <c r="AL31" s="144">
        <f t="shared" si="36"/>
        <v>35</v>
      </c>
      <c r="AM31" s="144">
        <f t="shared" si="36"/>
        <v>48</v>
      </c>
      <c r="AN31" s="224">
        <f t="shared" si="36"/>
        <v>21</v>
      </c>
      <c r="AO31" s="225">
        <v>8</v>
      </c>
      <c r="AP31" s="225">
        <v>7</v>
      </c>
      <c r="AQ31" s="225">
        <v>7</v>
      </c>
      <c r="AR31" s="225">
        <v>7</v>
      </c>
      <c r="AS31" s="166">
        <f t="shared" si="36"/>
        <v>0</v>
      </c>
      <c r="AT31" s="166">
        <f t="shared" si="36"/>
        <v>0</v>
      </c>
      <c r="AU31" s="225"/>
      <c r="AV31" s="226"/>
      <c r="AW31" s="225"/>
      <c r="AX31" s="226"/>
      <c r="AY31" s="143">
        <f>SUBTOTAL(9,AY9:AY30)</f>
        <v>5680</v>
      </c>
      <c r="AZ31" s="144">
        <f>SUBTOTAL(9,AZ9:AZ30)</f>
        <v>3242</v>
      </c>
      <c r="BA31" s="144">
        <f>SUBTOTAL(9,BA9:BA30)</f>
        <v>3400</v>
      </c>
      <c r="BB31" s="144">
        <f>SUBTOTAL(9,BB9:BB30)</f>
        <v>5568</v>
      </c>
      <c r="BC31" s="145">
        <f>SUBTOTAL(9,BC9:BC30)</f>
        <v>1249</v>
      </c>
      <c r="BD31" s="227">
        <f>IF(ISNUMBER(BA31/AZ31),BA31/AZ31," - ")</f>
        <v>1.0487353485502775</v>
      </c>
      <c r="BE31" s="224">
        <f>IF(ISNUMBER(BB31/BA31),BB31/BA31, " - ")</f>
        <v>1.6376470588235295</v>
      </c>
      <c r="BF31" s="224">
        <f>IF(ISNUMBER(BC31/BA31),BC31/BA31, " - ")</f>
        <v>0.3673529411764706</v>
      </c>
      <c r="BG31" s="145">
        <f>IF(ISNUMBER((AY31+AZ31)/BA31),(AY31+AZ31)/BA31," - ")</f>
        <v>2.6241176470588234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aeHXhmOINoEWMsSE8XvScIays7WLL1C5DZ6ksdz6TLyX9wl7F9hgTAv7oUpiTUjzCJgC8w/+R+9ymLWpSeoRg==" saltValue="BQMS2n4eCbHE25ZNJQ5q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bWHf9ejzNktxW5YjC/Itv1Hiju0MERb24NZQHpl6AqPWPraNAI/Epb0ULA3vujTHSnrIro3pg3HZr+pc/Q9dw==" saltValue="dfEakiKMJuik+cg+xUcJ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NAVALCARNERO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78</v>
      </c>
      <c r="G10" s="543">
        <f>IF(ISNUMBER(Datos!I10),Datos!I10," - ")</f>
        <v>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2</v>
      </c>
      <c r="AD10" s="549"/>
      <c r="AE10" s="563"/>
      <c r="AF10" s="551">
        <f>IF(ISNUMBER(Datos!L10),Datos!L10,"-")</f>
        <v>82</v>
      </c>
      <c r="AG10" s="549"/>
      <c r="AH10" s="549"/>
      <c r="AI10" s="549"/>
      <c r="AJ10" s="549"/>
      <c r="AK10" s="549"/>
      <c r="AL10" s="550"/>
      <c r="AM10" s="766">
        <f>IF(ISNUMBER(Datos!R10),Datos!R10," - ")</f>
        <v>88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4</v>
      </c>
      <c r="BE10" s="693" t="str">
        <f>IF(ISNUMBER(Datos!BW10),Datos!BW10," - ")</f>
        <v xml:space="preserve"> - </v>
      </c>
      <c r="BF10" s="762" t="str">
        <f>IF(ISNUMBER(Datos!BX10),Datos!BX10," - ")</f>
        <v xml:space="preserve"> - </v>
      </c>
      <c r="BG10" s="763">
        <f>IF(ISNUMBER(Datos!K10/Datos!J10),Datos!K10/Datos!J10," - ")</f>
        <v>0.73333333333333328</v>
      </c>
      <c r="BH10" s="764">
        <f>IF(ISNUMBER(((Datos!L10/Datos!K10)*11)/factor_trimestre),((Datos!L10/Datos!K10)*11)/factor_trimestre," - ")</f>
        <v>22.363636363636363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6.0240963855421686E-2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285</v>
      </c>
      <c r="O12" s="549"/>
      <c r="P12" s="549"/>
      <c r="Q12" s="547">
        <f>IF(ISNUMBER(Datos!P12),Datos!P12,0)</f>
        <v>314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492</v>
      </c>
      <c r="AI12" s="549" t="str">
        <f>IF(ISNUMBER(Datos!CD12),Datos!CD12,"-")</f>
        <v>-</v>
      </c>
      <c r="AJ12" s="549" t="str">
        <f>IF(ISNUMBER(Datos!EN12),Datos!EN12," - ")</f>
        <v xml:space="preserve"> - </v>
      </c>
      <c r="AK12" s="549"/>
      <c r="AL12" s="550"/>
      <c r="AM12" s="766">
        <f>IF(ISNUMBER(Datos!R12),Datos!R12," - ")</f>
        <v>7443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344</v>
      </c>
      <c r="BD12" s="693">
        <f>IF(ISNUMBER(Datos!N12),Datos!N12," - ")</f>
        <v>786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0.85988872028325747</v>
      </c>
      <c r="BH12" s="764">
        <f>IF(ISNUMBER(((IF(J_V="SI",Datos!L12/Datos!K12,(Datos!L12+Datos!AB12)/(Datos!K12+Datos!AA12)))*11)/factor_trimestre),((IF(J_V="SI",Datos!L12/Datos!K12,(Datos!L12+Datos!AB12)/(Datos!K12+Datos!AA12)))*11)/factor_trimestre," - ")</f>
        <v>10.582941176470589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1.583185478367681E-2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78</v>
      </c>
      <c r="G14" s="1197">
        <f t="shared" si="1"/>
        <v>78</v>
      </c>
      <c r="H14" s="1198">
        <f t="shared" si="1"/>
        <v>0</v>
      </c>
      <c r="I14" s="1197">
        <f t="shared" si="1"/>
        <v>0</v>
      </c>
      <c r="J14" s="1164">
        <f t="shared" si="1"/>
        <v>0</v>
      </c>
      <c r="K14" s="1164">
        <f t="shared" si="1"/>
        <v>0</v>
      </c>
      <c r="L14" s="1198">
        <f t="shared" si="1"/>
        <v>0</v>
      </c>
      <c r="M14" s="1198">
        <f t="shared" si="1"/>
        <v>0</v>
      </c>
      <c r="N14" s="1198">
        <f t="shared" si="1"/>
        <v>285</v>
      </c>
      <c r="O14" s="1199">
        <f t="shared" si="1"/>
        <v>0</v>
      </c>
      <c r="P14" s="1199">
        <f t="shared" si="1"/>
        <v>0</v>
      </c>
      <c r="Q14" s="1198">
        <f t="shared" si="1"/>
        <v>321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200</v>
      </c>
      <c r="AD14" s="1198">
        <f t="shared" si="2"/>
        <v>0</v>
      </c>
      <c r="AE14" s="1198">
        <f t="shared" si="2"/>
        <v>0</v>
      </c>
      <c r="AF14" s="1198">
        <f t="shared" si="2"/>
        <v>82</v>
      </c>
      <c r="AG14" s="1198">
        <f t="shared" si="2"/>
        <v>0</v>
      </c>
      <c r="AH14" s="1198">
        <f t="shared" si="2"/>
        <v>492</v>
      </c>
      <c r="AI14" s="1198">
        <f t="shared" si="2"/>
        <v>0</v>
      </c>
      <c r="AJ14" s="1198">
        <f t="shared" si="2"/>
        <v>0</v>
      </c>
      <c r="AK14" s="1198">
        <f t="shared" si="2"/>
        <v>0</v>
      </c>
      <c r="AL14" s="1198">
        <f t="shared" si="2"/>
        <v>0</v>
      </c>
      <c r="AM14" s="1198">
        <f t="shared" si="2"/>
        <v>7531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348</v>
      </c>
      <c r="BD14" s="1198">
        <f t="shared" si="2"/>
        <v>790</v>
      </c>
      <c r="BE14" s="1198">
        <f t="shared" si="2"/>
        <v>0</v>
      </c>
      <c r="BF14" s="1198">
        <f t="shared" si="2"/>
        <v>0</v>
      </c>
      <c r="BG14" s="1198">
        <f>IF(ISNUMBER(Datos!K14/Datos!J14),Datos!K14/Datos!J14," - ")</f>
        <v>0.82132396016403042</v>
      </c>
      <c r="BH14" s="1202">
        <f>IF(ISNUMBER(((Datos!L14/Datos!K14)*11)/factor_trimestre),((Datos!L14/Datos!K14)*11)/factor_trimestre," - ")</f>
        <v>11.95506419400856</v>
      </c>
      <c r="BI14" s="1198">
        <f>IF(ISNUMBER('Resol  Asuntos'!D14/NºAsuntos!G14),'Resol  Asuntos'!D14/NºAsuntos!G14," - ")</f>
        <v>0.20338983050847459</v>
      </c>
      <c r="BJ14" s="1198" t="str">
        <f>IF(ISNUMBER(Datos!CI14/Datos!CJ14),Datos!CI14/Datos!CJ14," - ")</f>
        <v xml:space="preserve"> - </v>
      </c>
      <c r="BK14" s="1198">
        <f>SUBTOTAL(9,BK8:BK13)</f>
        <v>0</v>
      </c>
      <c r="BL14" s="1198">
        <f>IF(ISNUMBER((I14-AB14+L14)/(F14)),(I14-AB14+L14)/(F14)," - ")</f>
        <v>-0.14102564102564102</v>
      </c>
      <c r="BM14" s="1203">
        <f>SUBTOTAL(9,BM9:BM13)</f>
        <v>7.6072818639098497E-2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1613</v>
      </c>
      <c r="G17" s="743">
        <f>IF(ISNUMBER(IF(D_I="SI",Datos!I17,Datos!I17+Datos!AC17)),IF(D_I="SI",Datos!I17,Datos!I17+Datos!AC17)," - ")</f>
        <v>1357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1670</v>
      </c>
      <c r="AC17" s="240">
        <f>IF(ISNUMBER(Datos!Q17),Datos!Q17," - ")</f>
        <v>97</v>
      </c>
      <c r="AD17" s="374"/>
      <c r="AE17" s="562"/>
      <c r="AF17" s="741">
        <f>IF(ISNUMBER(IF(D_I="SI",Datos!L17,Datos!L17+Datos!AF17)),IF(D_I="SI",Datos!L17,Datos!L17+Datos!AF17)," - ")</f>
        <v>1573</v>
      </c>
      <c r="AG17" s="374"/>
      <c r="AH17" s="374"/>
      <c r="AI17" s="374"/>
      <c r="AJ17" s="549"/>
      <c r="AK17" s="374"/>
      <c r="AL17" s="545"/>
      <c r="AM17" s="375">
        <f>IF(ISNUMBER(Datos!R17),Datos!R17," - ")</f>
        <v>551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336</v>
      </c>
      <c r="BD17" s="243">
        <f>IF(ISNUMBER(Datos!N17),Datos!N17," - ")</f>
        <v>975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1.0245398773006136</v>
      </c>
      <c r="BH17" s="764">
        <f>IF(ISNUMBER(((IF(D_I="SI",Datos!L17/Datos!K17,(Datos!L17+Datos!AF17)/(Datos!K17+Datos!AE17)))*11)/factor_trimestre),((IF(D_I="SI",Datos!L17/Datos!K17,(Datos!L17+Datos!AF17)/(Datos!K17+Datos!AE17)))*11)/factor_trimestre," - ")</f>
        <v>2.8257485029940121</v>
      </c>
      <c r="BI17" s="266">
        <f>IF(ISNUMBER('Resol  Asuntos'!D17/NºAsuntos!G17),'Resol  Asuntos'!D17/NºAsuntos!G17," - ")</f>
        <v>0.20119760479041915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237</v>
      </c>
      <c r="AC18" s="547">
        <f>IF(ISNUMBER(Datos!Q18),Datos!Q18," - ")</f>
        <v>2</v>
      </c>
      <c r="AD18" s="549"/>
      <c r="AE18" s="562"/>
      <c r="AF18" s="551">
        <f>IF(ISNUMBER(Datos!L18),Datos!L18,"-")</f>
        <v>223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184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1.0580357142857142</v>
      </c>
      <c r="BH18" s="764">
        <f>IF(ISNUMBER(((IF(D_I="SI",Datos!L18/Datos!K18,(Datos!L18+Datos!AF18)/(Datos!K18+Datos!AE18)))*11)/factor_trimestre),((IF(D_I="SI",Datos!L18/Datos!K18,(Datos!L18+Datos!AF18)/(Datos!K18+Datos!AE18)))*11)/factor_trimestre," - ")</f>
        <v>2.8227848101265827</v>
      </c>
      <c r="BI18" s="763">
        <f>IF(ISNUMBER('Resol  Asuntos'!D18/NºAsuntos!G18),'Resol  Asuntos'!D18/NºAsuntos!G18," - ")</f>
        <v>5.9071729957805907E-2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1613</v>
      </c>
      <c r="G23" s="1197">
        <f>SUBTOTAL(9,G16:G22)</f>
        <v>1591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1907</v>
      </c>
      <c r="AC23" s="1198">
        <f t="shared" si="5"/>
        <v>99</v>
      </c>
      <c r="AD23" s="1198">
        <f t="shared" si="5"/>
        <v>0</v>
      </c>
      <c r="AE23" s="1198">
        <f t="shared" si="5"/>
        <v>0</v>
      </c>
      <c r="AF23" s="1198">
        <f t="shared" si="5"/>
        <v>1796</v>
      </c>
      <c r="AG23" s="1198">
        <f t="shared" si="5"/>
        <v>0</v>
      </c>
      <c r="AH23" s="1198">
        <f t="shared" si="5"/>
        <v>0</v>
      </c>
      <c r="AI23" s="1198">
        <f t="shared" si="5"/>
        <v>0</v>
      </c>
      <c r="AJ23" s="1198">
        <f t="shared" si="5"/>
        <v>0</v>
      </c>
      <c r="AK23" s="1198">
        <f t="shared" si="5"/>
        <v>0</v>
      </c>
      <c r="AL23" s="1198">
        <f t="shared" si="5"/>
        <v>0</v>
      </c>
      <c r="AM23" s="1198">
        <f t="shared" si="5"/>
        <v>551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350</v>
      </c>
      <c r="BD23" s="1198">
        <f t="shared" si="5"/>
        <v>1159</v>
      </c>
      <c r="BE23" s="1198">
        <f t="shared" si="5"/>
        <v>0</v>
      </c>
      <c r="BF23" s="1198">
        <f t="shared" si="5"/>
        <v>0</v>
      </c>
      <c r="BG23" s="1198">
        <f>IF(ISNUMBER(Datos!K23/Datos!J23),Datos!K23/Datos!J23," - ")</f>
        <v>1.028586839266451</v>
      </c>
      <c r="BH23" s="1202">
        <f>IF(ISNUMBER(((Datos!L23/Datos!K23)*11)/factor_trimestre),((Datos!L23/Datos!K23)*11)/factor_trimestre," - ")</f>
        <v>2.825380178290509</v>
      </c>
      <c r="BI23" s="1198">
        <f>SUBTOTAL(9,BI16:BI22)</f>
        <v>0.26026933474822506</v>
      </c>
      <c r="BJ23" s="1198">
        <f>SUBTOTAL(9,BJ16:BJ22)</f>
        <v>0</v>
      </c>
      <c r="BK23" s="1198">
        <f>SUBTOTAL(9,BK16:BK22)</f>
        <v>0</v>
      </c>
      <c r="BL23" s="1198">
        <f>IF(ISNUMBER((I23-AB23+L23)/(F23)),(I23-AB23+L23)/(F23)," - ")</f>
        <v>-1.1822690638561686</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1691</v>
      </c>
      <c r="G31" s="1117">
        <f t="shared" si="18"/>
        <v>1669</v>
      </c>
      <c r="H31" s="1119">
        <f t="shared" si="18"/>
        <v>0</v>
      </c>
      <c r="I31" s="1117">
        <f t="shared" si="18"/>
        <v>0</v>
      </c>
      <c r="J31" s="1119">
        <f t="shared" si="18"/>
        <v>0</v>
      </c>
      <c r="K31" s="1119">
        <f t="shared" si="18"/>
        <v>0</v>
      </c>
      <c r="L31" s="1180">
        <f t="shared" si="18"/>
        <v>0</v>
      </c>
      <c r="M31" s="1180">
        <f t="shared" si="18"/>
        <v>0</v>
      </c>
      <c r="N31" s="1180">
        <f t="shared" si="18"/>
        <v>285</v>
      </c>
      <c r="O31" s="1180">
        <f t="shared" si="18"/>
        <v>0</v>
      </c>
      <c r="P31" s="1180">
        <f t="shared" si="18"/>
        <v>0</v>
      </c>
      <c r="Q31" s="1119">
        <f t="shared" si="18"/>
        <v>420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1918</v>
      </c>
      <c r="AC31" s="1118">
        <f t="shared" si="19"/>
        <v>299</v>
      </c>
      <c r="AD31" s="1118">
        <f t="shared" si="19"/>
        <v>0</v>
      </c>
      <c r="AE31" s="1118">
        <f t="shared" si="19"/>
        <v>0</v>
      </c>
      <c r="AF31" s="1125">
        <f t="shared" si="19"/>
        <v>1878</v>
      </c>
      <c r="AG31" s="1125">
        <f t="shared" si="19"/>
        <v>0</v>
      </c>
      <c r="AH31" s="1125">
        <f t="shared" si="19"/>
        <v>492</v>
      </c>
      <c r="AI31" s="1125">
        <f t="shared" si="19"/>
        <v>0</v>
      </c>
      <c r="AJ31" s="1118">
        <f t="shared" si="19"/>
        <v>0</v>
      </c>
      <c r="AK31" s="1125">
        <f t="shared" si="19"/>
        <v>0</v>
      </c>
      <c r="AL31" s="1125">
        <f t="shared" si="19"/>
        <v>0</v>
      </c>
      <c r="AM31" s="1125">
        <f t="shared" si="19"/>
        <v>8082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698</v>
      </c>
      <c r="BD31" s="1117">
        <f t="shared" si="19"/>
        <v>1949</v>
      </c>
      <c r="BE31" s="1117">
        <f t="shared" si="19"/>
        <v>0</v>
      </c>
      <c r="BF31" s="1127">
        <f t="shared" si="19"/>
        <v>0</v>
      </c>
      <c r="BG31" s="1223">
        <f>IF(ISNUMBER(Datos!K31/Datos!J31),Datos!K31/Datos!J31," - ")</f>
        <v>0.92923336141533275</v>
      </c>
      <c r="BH31" s="1223">
        <f>IF(ISNUMBER(((Datos!L31/Datos!K31)*11)/factor_trimestre),((Datos!L31/Datos!K31)*11)/factor_trimestre," - ")</f>
        <v>6.6935630099728014</v>
      </c>
      <c r="BI31" s="1103">
        <f>IF(ISNUMBER(Datos!J31/Datos!I31),Datos!J31/Datos!I31," - ")</f>
        <v>0.5432494279176201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-1.1342400946185689</v>
      </c>
      <c r="BM31" s="1188">
        <f>IF(ISNUMBER((Datos!P31-Datos!Q31+R31)/(Datos!R31-Datos!P31+Datos!Q31-R31)),(Datos!P31-Datos!Q31+R31)/(Datos!R31-Datos!P31+Datos!Q31-R31)," - ")</f>
        <v>1.5199095591006155E-2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476.85714285714283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813.55827490516413</v>
      </c>
      <c r="G33" s="674">
        <f>IF(ISNUMBER(STDEV(G8:G30)),STDEV(G8:G30),"-")</f>
        <v>688.94906163214239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854.3839886140189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181.83430447996957</v>
      </c>
      <c r="BD33" s="673"/>
      <c r="BE33" s="673">
        <f>IF(ISNUMBER(STDEV(BE8:BE30)),STDEV(BE8:BE30),"-")</f>
        <v>0</v>
      </c>
      <c r="BF33" s="678">
        <f>IF(ISNUMBER(STDEV(BF8:BF30)),STDEV(BF8:BF30),"-")</f>
        <v>0</v>
      </c>
      <c r="BG33" s="1052">
        <f>IF(ISNUMBER(STDEV(BG8:BG30)),STDEV(BG8:BG30),"-")</f>
        <v>0.13413641280496613</v>
      </c>
      <c r="BH33" s="1058">
        <f>IF(ISNUMBER(STDEV(BH8:BH30)),STDEV(BH8:BH30),"-")</f>
        <v>7.7995537624309232</v>
      </c>
      <c r="BI33" s="273">
        <f>IF(ISNUMBER(STDEV(BI8:BI30)),STDEV(BI8:BI30),"-")</f>
        <v>8.5750368198071025E-2</v>
      </c>
      <c r="BJ33" s="244" t="str">
        <f>IF(ISNUMBER(BL33/BM33),BL33/BM33," - ")</f>
        <v xml:space="preserve"> - </v>
      </c>
      <c r="BK33" s="709"/>
      <c r="BL33" s="681">
        <f>IF(ISNUMBER(STDEV(BL8:BL30)),STDEV(BL8:BL30),"-")</f>
        <v>0.73627028514935777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VwPXVS56VxAHpod//hLJXjZJRtW8ZCv3kv1T49tKbVPVZGha0EnO9gS9RNhluGcZzDJQKwsOOnV8g0E+k4dtwA==" saltValue="XvPhbP7yHh8opJiNScS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NAVALCARNERO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78</v>
      </c>
      <c r="G10" s="552">
        <f>IF(ISNUMBER(Datos!I10),Datos!I10," - ")</f>
        <v>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2</v>
      </c>
      <c r="AA10" s="551">
        <f>IF(ISNUMBER(Datos!L10),Datos!L10,"-")</f>
        <v>82</v>
      </c>
      <c r="AB10" s="549"/>
      <c r="AC10" s="549"/>
      <c r="AD10" s="563"/>
      <c r="AE10" s="563">
        <f>IF(ISNUMBER(Datos!R10),Datos!R10," - ")</f>
        <v>88</v>
      </c>
      <c r="AF10" s="693" t="str">
        <f>IF(ISNUMBER(Datos!BV10),Datos!BV10," - ")</f>
        <v xml:space="preserve"> - </v>
      </c>
      <c r="AG10" s="552" t="str">
        <f>IF(ISNUMBER(Datos!DV10),Datos!DV10," - ")</f>
        <v xml:space="preserve"> - </v>
      </c>
      <c r="AH10" s="553"/>
      <c r="AI10" s="554"/>
      <c r="AJ10" s="552">
        <f>IF(ISNUMBER(Datos!M10),Datos!M10," - ")</f>
        <v>4</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22.363636363636363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6.0240963855421686E-2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198</v>
      </c>
      <c r="AA12" s="551" t="str">
        <f>IF(ISNUMBER(IF(J_V="SI",Datos!L12,Datos!L12+Datos!AB12)-IF(Monitorios="SI",Datos!CD12,0)),
                          IF(J_V="SI",Datos!L12,Datos!L12+Datos!AB12)-IF(Monitorios="SI",Datos!CD12,0),
                          " - ")</f>
        <v xml:space="preserve"> - </v>
      </c>
      <c r="AB12" s="549"/>
      <c r="AC12" s="549"/>
      <c r="AD12" s="563"/>
      <c r="AE12" s="563">
        <f>IF(ISNUMBER(Datos!R12),Datos!R12," - ")</f>
        <v>7443</v>
      </c>
      <c r="AF12" s="693" t="str">
        <f>IF(ISNUMBER(Datos!BV12),Datos!BV12," - ")</f>
        <v xml:space="preserve"> - </v>
      </c>
      <c r="AG12" s="552" t="str">
        <f>IF(ISNUMBER(Datos!DV12),Datos!DV12," - ")</f>
        <v xml:space="preserve"> - </v>
      </c>
      <c r="AH12" s="553"/>
      <c r="AI12" s="554"/>
      <c r="AJ12" s="552">
        <f>IF(ISNUMBER(Datos!M12),Datos!M12," - ")</f>
        <v>344</v>
      </c>
      <c r="AK12" s="693">
        <f>IF(ISNUMBER(Datos!N12),Datos!N12," - ")</f>
        <v>786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10.582941176470589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1.583185478367681E-2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78</v>
      </c>
      <c r="G14" s="1197">
        <f>SUBTOTAL(9,G8:G13)</f>
        <v>78</v>
      </c>
      <c r="H14" s="1211"/>
      <c r="I14" s="1197">
        <f t="shared" ref="I14:N14" si="1">SUBTOTAL(9,I8:I13)</f>
        <v>0</v>
      </c>
      <c r="J14" s="1164">
        <f t="shared" si="1"/>
        <v>0</v>
      </c>
      <c r="K14" s="1211">
        <f t="shared" si="1"/>
        <v>0</v>
      </c>
      <c r="L14" s="1211">
        <f t="shared" si="1"/>
        <v>0</v>
      </c>
      <c r="M14" s="1211">
        <f t="shared" si="1"/>
        <v>0</v>
      </c>
      <c r="N14" s="1211">
        <f t="shared" si="1"/>
        <v>321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200</v>
      </c>
      <c r="AA14" s="1199">
        <f t="shared" si="3"/>
        <v>82</v>
      </c>
      <c r="AB14" s="1199">
        <f t="shared" si="3"/>
        <v>0</v>
      </c>
      <c r="AC14" s="1199">
        <f t="shared" si="3"/>
        <v>0</v>
      </c>
      <c r="AD14" s="1199">
        <f t="shared" si="3"/>
        <v>0</v>
      </c>
      <c r="AE14" s="1199">
        <f t="shared" si="3"/>
        <v>7531</v>
      </c>
      <c r="AF14" s="1211">
        <f t="shared" si="3"/>
        <v>0</v>
      </c>
      <c r="AG14" s="1211">
        <f t="shared" si="3"/>
        <v>0</v>
      </c>
      <c r="AH14" s="1211">
        <f t="shared" si="3"/>
        <v>0</v>
      </c>
      <c r="AI14" s="1211">
        <f t="shared" si="3"/>
        <v>0</v>
      </c>
      <c r="AJ14" s="1211">
        <f t="shared" si="3"/>
        <v>348</v>
      </c>
      <c r="AK14" s="1211">
        <f t="shared" si="3"/>
        <v>790</v>
      </c>
      <c r="AL14" s="1211">
        <f t="shared" si="3"/>
        <v>0</v>
      </c>
      <c r="AM14" s="1211">
        <f t="shared" si="3"/>
        <v>0</v>
      </c>
      <c r="AN14" s="1211">
        <f t="shared" si="3"/>
        <v>0</v>
      </c>
      <c r="AO14" s="1203">
        <f>IF(ISNUMBER(((NºAsuntos!I14/NºAsuntos!G14)*11)/factor_trimestre),((NºAsuntos!I14/NºAsuntos!G14)*11)/factor_trimestre," - ")</f>
        <v>10.658679135008768</v>
      </c>
      <c r="AP14" s="1213" t="str">
        <f>IF(ISNUMBER(Datos!CI14/Datos!CJ14),Datos!CI14/Datos!CJ14," - ")</f>
        <v xml:space="preserve"> - </v>
      </c>
      <c r="AQ14" s="1236">
        <f t="shared" ref="AQ14:AV14" si="4">SUBTOTAL(9,AQ9:AQ13)</f>
        <v>0</v>
      </c>
      <c r="AR14" s="1236">
        <f t="shared" si="4"/>
        <v>7.6072818639098497E-2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1613</v>
      </c>
      <c r="G17" s="552">
        <f>IF(ISNUMBER(IF(D_I="SI",Datos!I17,Datos!I17+Datos!AC17)),IF(D_I="SI",Datos!I17,Datos!I17+Datos!AC17)," - ")</f>
        <v>1357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1670</v>
      </c>
      <c r="Z17" s="805">
        <f>IF(ISNUMBER(Datos!Q17),Datos!Q17," - ")</f>
        <v>97</v>
      </c>
      <c r="AA17" s="551">
        <f>IF(ISNUMBER(IF(D_I="SI",Datos!L17,Datos!L17+Datos!AF17)),IF(D_I="SI",Datos!L17,Datos!L17+Datos!AF17)," - ")</f>
        <v>1573</v>
      </c>
      <c r="AB17" s="549"/>
      <c r="AC17" s="549"/>
      <c r="AD17" s="563"/>
      <c r="AE17" s="563">
        <f>IF(ISNUMBER(Datos!R17),Datos!R17," - ")</f>
        <v>551</v>
      </c>
      <c r="AF17" s="693" t="str">
        <f>IF(ISNUMBER(Datos!BV17),Datos!BV17," - ")</f>
        <v xml:space="preserve"> - </v>
      </c>
      <c r="AG17" s="552"/>
      <c r="AH17" s="553"/>
      <c r="AI17" s="554"/>
      <c r="AJ17" s="552">
        <f>IF(ISNUMBER(Datos!M17),Datos!M17," - ")</f>
        <v>336</v>
      </c>
      <c r="AK17" s="693">
        <f>IF(ISNUMBER(Datos!N17),Datos!N17," - ")</f>
        <v>975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2.8257485029940121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237</v>
      </c>
      <c r="Z18" s="805">
        <f>IF(ISNUMBER(Datos!Q18),Datos!Q18," - ")</f>
        <v>2</v>
      </c>
      <c r="AA18" s="551">
        <f>IF(ISNUMBER(Datos!L18),Datos!L18,"-")</f>
        <v>223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14</v>
      </c>
      <c r="AK18" s="693">
        <f>IF(ISNUMBER(Datos!N18),Datos!N18," - ")</f>
        <v>184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2.8227848101265827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1613</v>
      </c>
      <c r="G23" s="1197">
        <f>SUBTOTAL(9,G16:G22)</f>
        <v>1591</v>
      </c>
      <c r="H23" s="1240">
        <f>SUBTOTAL(9,H16:H22)</f>
        <v>0</v>
      </c>
      <c r="I23" s="1217">
        <f>SUBTOTAL(9,I16:I22)</f>
        <v>0</v>
      </c>
      <c r="J23" s="1164">
        <f>SUBTOTAL(9,J15:J22)</f>
        <v>0</v>
      </c>
      <c r="K23" s="1240">
        <f t="shared" ref="K23:S23" si="5">SUBTOTAL(9,K16:K22)</f>
        <v>0</v>
      </c>
      <c r="L23" s="1240">
        <f t="shared" si="5"/>
        <v>0</v>
      </c>
      <c r="M23" s="1240">
        <f t="shared" si="5"/>
        <v>0</v>
      </c>
      <c r="N23" s="1240">
        <f t="shared" si="5"/>
        <v>99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1907</v>
      </c>
      <c r="Z23" s="1240">
        <f t="shared" si="6"/>
        <v>99</v>
      </c>
      <c r="AA23" s="1240">
        <f t="shared" si="6"/>
        <v>1796</v>
      </c>
      <c r="AB23" s="1240">
        <f t="shared" si="6"/>
        <v>0</v>
      </c>
      <c r="AC23" s="1240">
        <f t="shared" si="6"/>
        <v>0</v>
      </c>
      <c r="AD23" s="1240">
        <f t="shared" si="6"/>
        <v>0</v>
      </c>
      <c r="AE23" s="1240">
        <f t="shared" si="6"/>
        <v>551</v>
      </c>
      <c r="AF23" s="1240">
        <f t="shared" si="6"/>
        <v>0</v>
      </c>
      <c r="AG23" s="1240">
        <f t="shared" si="6"/>
        <v>0</v>
      </c>
      <c r="AH23" s="1240">
        <f t="shared" si="6"/>
        <v>0</v>
      </c>
      <c r="AI23" s="1240">
        <f t="shared" si="6"/>
        <v>0</v>
      </c>
      <c r="AJ23" s="1240">
        <f t="shared" si="6"/>
        <v>350</v>
      </c>
      <c r="AK23" s="1240">
        <f t="shared" si="6"/>
        <v>1159</v>
      </c>
      <c r="AL23" s="1240">
        <f t="shared" si="6"/>
        <v>0</v>
      </c>
      <c r="AM23" s="1240">
        <f t="shared" si="6"/>
        <v>0</v>
      </c>
      <c r="AN23" s="1240">
        <f t="shared" si="6"/>
        <v>0</v>
      </c>
      <c r="AO23" s="1242">
        <f>IF(ISNUMBER(((NºAsuntos!I23/NºAsuntos!G23)*11)/factor_trimestre),((NºAsuntos!I23/NºAsuntos!G23)*11)/factor_trimestre," - ")</f>
        <v>2.825380178290509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1691</v>
      </c>
      <c r="G31" s="1117">
        <f t="shared" si="12"/>
        <v>1669</v>
      </c>
      <c r="H31" s="1118">
        <f t="shared" si="12"/>
        <v>0</v>
      </c>
      <c r="I31" s="1117">
        <f t="shared" si="12"/>
        <v>0</v>
      </c>
      <c r="J31" s="1119">
        <f t="shared" si="12"/>
        <v>0</v>
      </c>
      <c r="K31" s="1117">
        <f t="shared" si="12"/>
        <v>0</v>
      </c>
      <c r="L31" s="1120">
        <f t="shared" si="12"/>
        <v>0</v>
      </c>
      <c r="M31" s="1117">
        <f t="shared" si="12"/>
        <v>0</v>
      </c>
      <c r="N31" s="1118">
        <f t="shared" si="12"/>
        <v>420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1918</v>
      </c>
      <c r="Z31" s="1124">
        <f t="shared" si="13"/>
        <v>299</v>
      </c>
      <c r="AA31" s="1125">
        <f t="shared" si="13"/>
        <v>1878</v>
      </c>
      <c r="AB31" s="1125">
        <f t="shared" si="13"/>
        <v>0</v>
      </c>
      <c r="AC31" s="1125">
        <f t="shared" si="13"/>
        <v>0</v>
      </c>
      <c r="AD31" s="1126">
        <f t="shared" si="13"/>
        <v>0</v>
      </c>
      <c r="AE31" s="1126">
        <f t="shared" si="13"/>
        <v>8082</v>
      </c>
      <c r="AF31" s="1127">
        <f t="shared" si="13"/>
        <v>0</v>
      </c>
      <c r="AG31" s="1128">
        <f t="shared" si="13"/>
        <v>0</v>
      </c>
      <c r="AH31" s="1129">
        <f t="shared" si="13"/>
        <v>0</v>
      </c>
      <c r="AI31" s="1127">
        <f t="shared" si="13"/>
        <v>0</v>
      </c>
      <c r="AJ31" s="1117">
        <f t="shared" si="13"/>
        <v>698</v>
      </c>
      <c r="AK31" s="1117">
        <f t="shared" si="13"/>
        <v>1949</v>
      </c>
      <c r="AL31" s="1117">
        <f t="shared" si="13"/>
        <v>0</v>
      </c>
      <c r="AM31" s="1130">
        <f t="shared" si="13"/>
        <v>0</v>
      </c>
      <c r="AN31" s="1120">
        <f>IF(ISNUMBER(Datos!K31/Datos!J31),Datos!K31/Datos!J31," - ")</f>
        <v>0.92923336141533275</v>
      </c>
      <c r="AO31" s="1120">
        <f>IF(ISNUMBER(FIND("06",Criterios!A8,1)),(IF(ISNUMBER(((Datos!R31/Datos!Q31)*11)/factor_trimestre),((Datos!R31/Datos!Q31)*11)/factor_trimestre," - ")),(IF(ISNUMBER(((Datos!L31/Datos!K31)*11)/factor_trimestre),((Datos!L31/Datos!K31)*11)/factor_trimestre," - ")))</f>
        <v>6.6935630099728014</v>
      </c>
      <c r="AP31" s="1131" t="str">
        <f>IF(ISNUMBER(Datos!CI31/Datos!CJ31),Datos!CI31/Datos!CJ31," - ")</f>
        <v xml:space="preserve"> - </v>
      </c>
      <c r="AQ31" s="1131">
        <f>IF(OR(ISNUMBER(FIND("01",Criterios!A8,1)),ISNUMBER(FIND("02",Criterios!A8,1)),ISNUMBER(FIND("03",Criterios!A8,1)),ISNUMBER(FIND("04",Criterios!A8,1))),(J31-Y31+K31)/(F31-K31),(I31-Y31+K31)/(F31-K31))</f>
        <v>-1.1342400946185689</v>
      </c>
      <c r="AR31" s="1131">
        <f>IF(ISNUMBER((Datos!P31-Datos!Q31+O31)/(Datos!R31-Datos!P31+Datos!Q31-O31)),(Datos!P31-Datos!Q31+O31)/(Datos!R31-Datos!P31+Datos!Q31-O31)," - ")</f>
        <v>1.5199095591006155E-2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476.85714285714283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813.55827490516413</v>
      </c>
      <c r="G33" s="674">
        <f>IF(ISNUMBER(STDEV(G8:G30)),STDEV(G8:G30),"-")</f>
        <v>688.94906163214239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181.83430447996957</v>
      </c>
      <c r="AK33" s="276"/>
      <c r="AL33" s="276">
        <f>IF(ISNUMBER(STDEV(AL8:AL30)),STDEV(AL8:AL30),"-")</f>
        <v>0</v>
      </c>
      <c r="AM33" s="278">
        <f>IF(ISNUMBER(STDEV(AM8:AM30)),STDEV(AM8:AM30),"-")</f>
        <v>0</v>
      </c>
      <c r="AN33" s="660">
        <f>IF(ISNUMBER(STDEV(AN8:AN30)),STDEV(AN8:AN30),"-")</f>
        <v>0</v>
      </c>
      <c r="AO33" s="661">
        <f>IF(ISNUMBER(STDEV(AO8:AO30)),STDEV(AO8:AO30),"-")</f>
        <v>7.7153621287055811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laZGMUeE8sd6kgW/nNBes/RVof57AuogpQWEEPmAPs0tbCb++qReF1PFQU+8FSzacxw8pnGGNaHnPjFhlVTtQ==" saltValue="e3449WAbKrNRg47tlON6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PYyWvwQvZGJ34iAOIOzufa3CxVOgxhEWDiiPL/0n1nmYq42K9FYYz9w6KbTzAYeaeVNW5pAn6H6zw1nAtvQTQ==" saltValue="vl+dfn+riaUszAaQcv5S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q1z63Y8QgHmlIj3ss5vAHP3DSZpxghhLh9Rkt8Nzv0bVdNd07aL4YPSamqNZagX0qlfPy1PVNWJB9L59mX2ug==" saltValue="AFP4Ae50MQ89yTW3N4lm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NAVALCARNERO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0.20338983050847459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0.14381832837692493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XX/oM0E23NmWLWUiSZdC50WLkBUsvrwnDw/kt6t5sGMoh3JjczUdC852t2qNFXkLL30eT62+C0ZG9UEeC/sfw==" saltValue="5juKQfagrL6QoR9EOQiw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zQwlvmtucqhSp7l9QHQRsB+6DJrszWwzDLDV4fuo2P57NGsJjxQx+kVRq9E96VJLbh6T+kOAL2wyny7Vhg6JA==" saltValue="YMEepJXubL17c9QfYTWs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NAVALCARNERO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78</v>
      </c>
      <c r="D10" s="452">
        <f>IF(ISNUMBER(C10/Datos!BH10),C10/Datos!BH10," - ")</f>
        <v>78</v>
      </c>
      <c r="E10" s="451">
        <f>IF(ISNUMBER(Datos!J10),Datos!J10," - ")</f>
        <v>15</v>
      </c>
      <c r="F10" s="452">
        <f>IF(ISNUMBER(E10/B10),E10/B10," - ")</f>
        <v>15</v>
      </c>
      <c r="G10" s="451">
        <f>IF(ISNUMBER(Datos!K10),Datos!K10," - ")</f>
        <v>11</v>
      </c>
      <c r="H10" s="452">
        <f>IF(ISNUMBER(G10/B10),G10/B10," - ")</f>
        <v>11</v>
      </c>
      <c r="I10" s="451">
        <f>IF(ISNUMBER(Datos!L10),Datos!L10," - ")</f>
        <v>82</v>
      </c>
      <c r="J10" s="452">
        <f>IF(ISNUMBER(I10/B10),I10/B10," - ")</f>
        <v>82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5379</v>
      </c>
      <c r="D12" s="452">
        <f>IF(ISNUMBER(C12/Datos!BH12),C12/Datos!BH12," - ")</f>
        <v>896.5</v>
      </c>
      <c r="E12" s="451">
        <f>IF(ISNUMBER(IF(J_V="SI",Datos!J12,Datos!J12+Datos!Z12)),IF(J_V="SI",Datos!J12,Datos!J12+Datos!Z12)," - ")</f>
        <v>1977</v>
      </c>
      <c r="F12" s="452">
        <f>IF(ISNUMBER(E12/B12),E12/B12," - ")</f>
        <v>282.42857142857144</v>
      </c>
      <c r="G12" s="451">
        <f>IF(ISNUMBER(IF(J_V="SI",Datos!K12,Datos!K12+Datos!AA12)),IF(J_V="SI",Datos!K12,Datos!K12+Datos!AA12)," - ")</f>
        <v>1700</v>
      </c>
      <c r="H12" s="452">
        <f>IF(ISNUMBER(G12/B12),G12/B12," - ")</f>
        <v>242.85714285714286</v>
      </c>
      <c r="I12" s="451">
        <f>IF(ISNUMBER(IF(J_V="SI",Datos!L12,Datos!L12+Datos!AB12)),IF(J_V="SI",Datos!L12,Datos!L12+Datos!AB12)," - ")</f>
        <v>5997</v>
      </c>
      <c r="J12" s="452">
        <f>IF(ISNUMBER(I12/B12),I12/B12," - ")</f>
        <v>856.71428571428567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5457</v>
      </c>
      <c r="D14" s="1147" t="str">
        <f>IF(ISNUMBER(C14/Datos!BI14),C14/Datos!BI14," - ")</f>
        <v xml:space="preserve"> - </v>
      </c>
      <c r="E14" s="1146">
        <f>SUBTOTAL(9,E8:E13)</f>
        <v>1992</v>
      </c>
      <c r="F14" s="1147">
        <f>IF(ISNUMBER(E14/B14),E14/B14," - ")</f>
        <v>284.57142857142856</v>
      </c>
      <c r="G14" s="1146">
        <f>SUBTOTAL(9,G8:G13)</f>
        <v>1711</v>
      </c>
      <c r="H14" s="1147">
        <f>IF(ISNUMBER(G14/B14),G14/B14," - ")</f>
        <v>244.42857142857142</v>
      </c>
      <c r="I14" s="1146">
        <f>SUBTOTAL(9,I8:I13)</f>
        <v>6079</v>
      </c>
      <c r="J14" s="1147">
        <f>IF(ISNUMBER(I14/B14),I14/B14," - ")</f>
        <v>868.42857142857144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1357</v>
      </c>
      <c r="D17" s="452">
        <f>IF(ISNUMBER(C17/Datos!BH17),C17/Datos!BH17," - ")</f>
        <v>226.16666666666666</v>
      </c>
      <c r="E17" s="451">
        <f>IF(ISNUMBER(IF(D_I="SI",Datos!J17,Datos!J17+Datos!AD17)),IF(D_I="SI",Datos!J17,Datos!J17+Datos!AD17)," - ")</f>
        <v>1630</v>
      </c>
      <c r="F17" s="452">
        <f>IF(ISNUMBER(E17/B17),E17/B17," - ")</f>
        <v>232.85714285714286</v>
      </c>
      <c r="G17" s="451">
        <f>IF(ISNUMBER(IF(D_I="SI",Datos!K17,Datos!K17+Datos!AE17)),IF(D_I="SI",Datos!K17,Datos!K17+Datos!AE17)," - ")</f>
        <v>1670</v>
      </c>
      <c r="H17" s="452">
        <f>IF(ISNUMBER(G17/B17),G17/B17," - ")</f>
        <v>238.57142857142858</v>
      </c>
      <c r="I17" s="451">
        <f>IF(ISNUMBER(IF(D_I="SI",Datos!L17,Datos!L17+Datos!AF17)),IF(D_I="SI",Datos!L17,Datos!L17+Datos!AF17)," - ")</f>
        <v>1573</v>
      </c>
      <c r="J17" s="452">
        <f>IF(ISNUMBER(I17/B17),I17/B17," - ")</f>
        <v>224.71428571428572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234</v>
      </c>
      <c r="D18" s="452">
        <f>IF(ISNUMBER(C18/Datos!BH18),C18/Datos!BH18," - ")</f>
        <v>234</v>
      </c>
      <c r="E18" s="451">
        <f>IF(ISNUMBER(IF(D_I="SI",Datos!J18,Datos!J18+Datos!AD18)),IF(D_I="SI",Datos!J18,Datos!J18+Datos!AD18)," - ")</f>
        <v>224</v>
      </c>
      <c r="F18" s="452">
        <f>IF(ISNUMBER(E18/B18),E18/B18," - ")</f>
        <v>224</v>
      </c>
      <c r="G18" s="451">
        <f>IF(ISNUMBER(IF(D_I="SI",Datos!K18,Datos!K18+Datos!AE18)),IF(D_I="SI",Datos!K18,Datos!K18+Datos!AE18)," - ")</f>
        <v>237</v>
      </c>
      <c r="H18" s="452">
        <f>IF(ISNUMBER(G18/B18),G18/B18," - ")</f>
        <v>237</v>
      </c>
      <c r="I18" s="451">
        <f>IF(ISNUMBER(IF(D_I="SI",Datos!L18,Datos!L18+Datos!AF18)),IF(D_I="SI",Datos!L18,Datos!L18+Datos!AF18)," - ")</f>
        <v>223</v>
      </c>
      <c r="J18" s="452">
        <f>IF(ISNUMBER(I18/B18),I18/B18," - ")</f>
        <v>223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1591</v>
      </c>
      <c r="D23" s="1147" t="str">
        <f>IF(ISNUMBER(C23/Datos!BI23),C23/Datos!BI23," - ")</f>
        <v xml:space="preserve"> - </v>
      </c>
      <c r="E23" s="1146">
        <f>SUBTOTAL(9,E15:E22)</f>
        <v>1854</v>
      </c>
      <c r="F23" s="1147">
        <f>IF(ISNUMBER(E23/B23),E23/B23," - ")</f>
        <v>264.85714285714283</v>
      </c>
      <c r="G23" s="1146">
        <f>SUBTOTAL(9,G15:G22)</f>
        <v>1907</v>
      </c>
      <c r="H23" s="1147">
        <f>IF(ISNUMBER(G23/B23),G23/B23," - ")</f>
        <v>272.42857142857144</v>
      </c>
      <c r="I23" s="1146">
        <f>SUBTOTAL(9,I15:I22)</f>
        <v>1796</v>
      </c>
      <c r="J23" s="1147">
        <f>IF(ISNUMBER(I23/B23),I23/B23," - ")</f>
        <v>256.57142857142856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7048</v>
      </c>
      <c r="D31" s="1085" t="str">
        <f>IF(ISNUMBER(C31/Datos!BI31),C31/Datos!BI31," - ")</f>
        <v xml:space="preserve"> - </v>
      </c>
      <c r="E31" s="1084">
        <f>SUBTOTAL(9,E9:E30)</f>
        <v>3846</v>
      </c>
      <c r="F31" s="1085">
        <f>IF(ISNUMBER(E31/B31),E31/B31," - ")</f>
        <v>549.42857142857144</v>
      </c>
      <c r="G31" s="1084">
        <f>SUBTOTAL(9,G9:G30)</f>
        <v>3618</v>
      </c>
      <c r="H31" s="1085">
        <f>IF(ISNUMBER(G31/B31),G31/B31," - ")</f>
        <v>516.85714285714289</v>
      </c>
      <c r="I31" s="1084">
        <f>SUBTOTAL(9,I9:I30)</f>
        <v>7875</v>
      </c>
      <c r="J31" s="1085">
        <f>IF(ISNUMBER(I31/B31),I31/B31," - ")</f>
        <v>1125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eucT+jtGWaLxUz0pouIEKmy3RDhJHqKxm326sJr3rxxOWIrmfBrcA/hz0rPJ2yJoQTrlBCo/Bxb5k3j4+6Q3w==" saltValue="0d4oK5OvlOoWx98Wk9Lg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NAVALCARNERO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78</v>
      </c>
      <c r="G10" s="906">
        <f>IF(ISNUMBER(Datos!I10),Datos!I10," - ")</f>
        <v>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82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22.363636363636363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7443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344</v>
      </c>
      <c r="AM12" s="914">
        <f>IF(ISNUMBER(Datos!N12+DatosP!N17),Datos!N12+DatosP!N17," - ")</f>
        <v>786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10.582941176470589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1.583185478367681E-2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78</v>
      </c>
      <c r="G14" s="1256">
        <f t="shared" si="0"/>
        <v>78</v>
      </c>
      <c r="H14" s="1256">
        <f t="shared" si="0"/>
        <v>0</v>
      </c>
      <c r="I14" s="1258">
        <f t="shared" si="0"/>
        <v>0</v>
      </c>
      <c r="J14" s="1257">
        <f t="shared" si="0"/>
        <v>0</v>
      </c>
      <c r="K14" s="1257">
        <f t="shared" si="0"/>
        <v>0</v>
      </c>
      <c r="L14" s="1259">
        <f t="shared" si="0"/>
        <v>0</v>
      </c>
      <c r="M14" s="1259">
        <f t="shared" si="0"/>
        <v>0</v>
      </c>
      <c r="N14" s="1257">
        <f t="shared" si="0"/>
        <v>321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198</v>
      </c>
      <c r="AE14" s="1257">
        <f t="shared" si="1"/>
        <v>0</v>
      </c>
      <c r="AF14" s="1257">
        <f t="shared" si="1"/>
        <v>82</v>
      </c>
      <c r="AG14" s="1257">
        <f t="shared" si="1"/>
        <v>0</v>
      </c>
      <c r="AH14" s="1257">
        <f t="shared" si="1"/>
        <v>7443</v>
      </c>
      <c r="AI14" s="1257">
        <f t="shared" si="1"/>
        <v>0</v>
      </c>
      <c r="AJ14" s="1257">
        <f t="shared" si="1"/>
        <v>0</v>
      </c>
      <c r="AK14" s="1257">
        <f t="shared" si="1"/>
        <v>0</v>
      </c>
      <c r="AL14" s="1257">
        <f t="shared" si="1"/>
        <v>348</v>
      </c>
      <c r="AM14" s="1257">
        <f t="shared" si="1"/>
        <v>790</v>
      </c>
      <c r="AN14" s="1257">
        <f t="shared" si="1"/>
        <v>0</v>
      </c>
      <c r="AO14" s="1257">
        <f t="shared" si="1"/>
        <v>0</v>
      </c>
      <c r="AP14" s="1262">
        <f>IF(ISNUMBER(((Datos!L14/Datos!K14)*11)/factor_trimestre),((Datos!L14/Datos!K14)*11)/factor_trimestre," - ")</f>
        <v>11.95506419400856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-0.14102564102564102</v>
      </c>
      <c r="AU14" s="1257" t="str">
        <f>IF(ISNUMBER((DatosP!#REF!-DatosP!#REF!+DatosP!#REF!)/(DatosP!#REF!+DatosP!#REF!-DatosP!#REF!-DatosP!#REF!)),(DatosP!#REF!-DatosP!#REF!+DatosP!#REF!)/(DatosP!#REF!+DatosP!#REF!-DatosP!#REF!-DatosP!#REF!)," - ")</f>
        <v xml:space="preserve"> - </v>
      </c>
      <c r="AV14" s="1263">
        <f>SUBTOTAL(9,AV9:AV13)</f>
        <v>1.583185478367681E-2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2.825380178290509</v>
      </c>
      <c r="AQ23" s="1262">
        <f>IF(ISNUMBER(((Datos!M23/Datos!L23)*11)/factor_trimestre),((Datos!M23/Datos!L23)*11)/factor_trimestre," - ")</f>
        <v>0.58463251670378624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-0.26635238656452564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78</v>
      </c>
      <c r="G31" s="1278">
        <f t="shared" si="8"/>
        <v>78</v>
      </c>
      <c r="H31" s="1278">
        <f t="shared" si="8"/>
        <v>0</v>
      </c>
      <c r="I31" s="1279">
        <f t="shared" si="8"/>
        <v>0</v>
      </c>
      <c r="J31" s="1280">
        <f t="shared" si="8"/>
        <v>0</v>
      </c>
      <c r="K31" s="1280">
        <f t="shared" si="8"/>
        <v>0</v>
      </c>
      <c r="L31" s="1280">
        <f t="shared" si="8"/>
        <v>0</v>
      </c>
      <c r="M31" s="1280">
        <f t="shared" si="8"/>
        <v>0</v>
      </c>
      <c r="N31" s="1279">
        <f t="shared" si="8"/>
        <v>321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198</v>
      </c>
      <c r="AE31" s="1284">
        <f t="shared" si="9"/>
        <v>0</v>
      </c>
      <c r="AF31" s="1285">
        <f t="shared" si="9"/>
        <v>82</v>
      </c>
      <c r="AG31" s="1285">
        <f t="shared" si="9"/>
        <v>0</v>
      </c>
      <c r="AH31" s="1285">
        <f t="shared" si="9"/>
        <v>7443</v>
      </c>
      <c r="AI31" s="1285">
        <f t="shared" si="9"/>
        <v>0</v>
      </c>
      <c r="AJ31" s="1286">
        <f t="shared" si="9"/>
        <v>0</v>
      </c>
      <c r="AK31" s="1286">
        <f t="shared" si="9"/>
        <v>0</v>
      </c>
      <c r="AL31" s="1278">
        <f t="shared" si="9"/>
        <v>348</v>
      </c>
      <c r="AM31" s="1278">
        <f t="shared" si="9"/>
        <v>790</v>
      </c>
      <c r="AN31" s="1278">
        <f t="shared" si="9"/>
        <v>0</v>
      </c>
      <c r="AO31" s="1278">
        <f t="shared" si="9"/>
        <v>0</v>
      </c>
      <c r="AP31" s="1278">
        <f>IF(ISNUMBER(((Datos!L31/Datos!K31)*11)/factor_trimestre),((Datos!L31/Datos!K31)*11)/factor_trimestre," - ")</f>
        <v>6.6935630099728014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-0.14102564102564102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1.5199095591006155E-2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42.722359485402954</v>
      </c>
      <c r="G33" s="1007">
        <f>IF(ISNUMBER(STDEV(G8:G30)),STDEV(G8:G30),"-")</f>
        <v>42.722359485402954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178.16845961056069</v>
      </c>
      <c r="AM33" s="1006"/>
      <c r="AN33" s="1006">
        <f>IF(ISNUMBER(STDEV(AN8:AN30)),STDEV(AN8:AN30),"-")</f>
        <v>0</v>
      </c>
      <c r="AO33" s="1012">
        <f>IF(ISNUMBER(STDEV(AO8:AO30)),STDEV(AO8:AO30),"-")</f>
        <v>0</v>
      </c>
      <c r="AP33" s="1065">
        <f>IF(ISNUMBER(STDEV(AP8:AP30)),STDEV(AP8:AP30),"-")</f>
        <v>8.0326428450316953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FAH2SCPftBZmK0vgTgGIxCclvMGcXlOf671zgmJ/SMRbtjUU3KfwkO4jarEQQzvyaSrKyveqwTtVzbfGkpUUQ==" saltValue="gjELpLtDe/7GvN+Zbj4d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NAVALCARNERO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1.1666666666666667</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1.1666666666666667</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dIO4OIIZQSebIevEG52mCqqss085jDoWlWvaCqKqP3A/qQY6HMvPTcNKSMskvI6trR/Tm9wRlhQx9OXWMKUFA==" saltValue="gA8KhJ1GBStZFIus0UIa6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NAVALCARNERO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4</v>
      </c>
      <c r="G10" s="452">
        <f>IF(ISNUMBER(F10/B10),F10/B10," - ")</f>
        <v>4</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344</v>
      </c>
      <c r="E12" s="452">
        <f t="shared" si="0"/>
        <v>49.142857142857146</v>
      </c>
      <c r="F12" s="451">
        <f>IF(ISNUMBER(Datos!N12),Datos!N12," - ")</f>
        <v>786</v>
      </c>
      <c r="G12" s="452">
        <f t="shared" si="1"/>
        <v>112.28571428571429</v>
      </c>
      <c r="H12" s="451">
        <f>IF(ISNUMBER(Datos!O12),Datos!O12," - ")</f>
        <v>465</v>
      </c>
      <c r="I12" s="452">
        <f t="shared" si="2"/>
        <v>66.428571428571431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348</v>
      </c>
      <c r="E14" s="1147">
        <f t="shared" si="0"/>
        <v>43.5</v>
      </c>
      <c r="F14" s="1146">
        <f>SUBTOTAL(9,F9:F13)</f>
        <v>790</v>
      </c>
      <c r="G14" s="1147">
        <f t="shared" si="1"/>
        <v>98.75</v>
      </c>
      <c r="H14" s="1146">
        <f>SUBTOTAL(9,H9:H13)</f>
        <v>467</v>
      </c>
      <c r="I14" s="1147">
        <f>IF(ISNUMBER(H14/B14),H14/B14," - ")</f>
        <v>58.375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336</v>
      </c>
      <c r="E17" s="452">
        <f t="shared" si="3"/>
        <v>48</v>
      </c>
      <c r="F17" s="451">
        <f>IF(ISNUMBER(Datos!N17),Datos!N17," - ")</f>
        <v>975</v>
      </c>
      <c r="G17" s="452">
        <f t="shared" si="4"/>
        <v>139.28571428571428</v>
      </c>
      <c r="H17" s="451">
        <f>IF(ISNUMBER(Datos!O17),Datos!O17," - ")</f>
        <v>41</v>
      </c>
      <c r="I17" s="452">
        <f t="shared" si="5"/>
        <v>5.8571428571428568</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184</v>
      </c>
      <c r="G18" s="452">
        <f>IF(ISNUMBER(F18/B18),F18/B18," - ")</f>
        <v>184</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350</v>
      </c>
      <c r="E23" s="1147">
        <f t="shared" si="3"/>
        <v>43.75</v>
      </c>
      <c r="F23" s="1146">
        <f>SUBTOTAL(9,F16:F22)</f>
        <v>1159</v>
      </c>
      <c r="G23" s="1147">
        <f t="shared" si="4"/>
        <v>144.875</v>
      </c>
      <c r="H23" s="1146">
        <f>SUBTOTAL(9,H16:H22)</f>
        <v>43</v>
      </c>
      <c r="I23" s="1147">
        <f>IF(ISNUMBER(H23/B23),H23/B23," - ")</f>
        <v>5.375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698</v>
      </c>
      <c r="E31" s="1085">
        <f>IF(ISNUMBER(D31/B31),D31/B31," - ")</f>
        <v>99.714285714285708</v>
      </c>
      <c r="F31" s="1084">
        <f>SUBTOTAL(9,F8:F30)</f>
        <v>1949</v>
      </c>
      <c r="G31" s="1085">
        <f>IF(ISNUMBER(F31/B31),F31/B31," - ")</f>
        <v>278.42857142857144</v>
      </c>
      <c r="H31" s="1084">
        <f>SUBTOTAL(9,H8:H30)</f>
        <v>510</v>
      </c>
      <c r="I31" s="1085">
        <f>IF(ISNUMBER(H31/B31),H31/B31," - ")</f>
        <v>72.857142857142861</v>
      </c>
    </row>
    <row r="34" spans="1:1">
      <c r="A34" s="439" t="str">
        <f>Criterios!A4</f>
        <v>Fecha Informe: 05 may. 2023</v>
      </c>
    </row>
    <row r="39" spans="1:1">
      <c r="A39" s="462"/>
    </row>
  </sheetData>
  <sheetProtection algorithmName="SHA-512" hashValue="+fA+Kbikt0O9wU4HAG1ZcoMkJRj20gLutfsNq9nmrF9HX8yLcwG6vzl0Dh+p2Bgf6n8dtBmTa2Ymjon982R8pQ==" saltValue="0u8dOEfTLL9Cxg8U4Nwy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NAVALCARNERO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2</v>
      </c>
      <c r="D10" s="456">
        <f>IF(ISNUMBER(Datos!R10),Datos!R10," - ")</f>
        <v>88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314</v>
      </c>
      <c r="C12" s="489">
        <f>IF(ISNUMBER(Datos!Q12),Datos!Q12," - ")</f>
        <v>198</v>
      </c>
      <c r="D12" s="456">
        <f>IF(ISNUMBER(Datos!R12),Datos!R12," - ")</f>
        <v>7443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321</v>
      </c>
      <c r="C14" s="1150">
        <f>SUBTOTAL(9,C9:C13)</f>
        <v>200</v>
      </c>
      <c r="D14" s="1148">
        <f>SUBTOTAL(9,D9:D13)</f>
        <v>7531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97</v>
      </c>
      <c r="C17" s="489">
        <f>IF(ISNUMBER(Datos!Q17),Datos!Q17," - ")</f>
        <v>97</v>
      </c>
      <c r="D17" s="456">
        <f>IF(ISNUMBER(Datos!R17),Datos!R17," - ")</f>
        <v>551</v>
      </c>
    </row>
    <row r="18" spans="1:4">
      <c r="A18" s="450" t="str">
        <f>Datos!A18</f>
        <v>Jdos. Violencia contra la mujer</v>
      </c>
      <c r="B18" s="488">
        <f>IF(ISNUMBER(Datos!P18),Datos!P18," - ")</f>
        <v>2</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99</v>
      </c>
      <c r="C23" s="1150">
        <f>SUBTOTAL(9,C16:C22)</f>
        <v>99</v>
      </c>
      <c r="D23" s="1148">
        <f>SUBTOTAL(9,D16:D22)</f>
        <v>551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420</v>
      </c>
      <c r="C31" s="1089">
        <f>SUBTOTAL(9,C8:C30)</f>
        <v>299</v>
      </c>
      <c r="D31" s="1090">
        <f>SUBTOTAL(9,D8:D30)</f>
        <v>8082</v>
      </c>
    </row>
    <row r="32" spans="1:4" ht="7.5" customHeight="1"/>
    <row r="33" spans="1:1" ht="6" customHeight="1"/>
    <row r="34" spans="1:1">
      <c r="A34" s="439" t="str">
        <f>Criterios!A4</f>
        <v>Fecha Informe: 05 may. 2023</v>
      </c>
    </row>
    <row r="39" spans="1:1">
      <c r="A39" s="462"/>
    </row>
  </sheetData>
  <sheetProtection algorithmName="SHA-512" hashValue="dUX77imrkTwmCRzT55tWvSsgqCjGrplRwfyEx36nPJxuteeIlRaTxPpdw29NaLzvZyAA64zMNaP4sbl0zePTEw==" saltValue="4HowvzHrVyl0GnUSQsml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NAVALCARNERO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8.3333333333333329E-2</v>
      </c>
      <c r="C10" s="515">
        <f>IF(ISNUMBER((Datos!J10-Datos!T10)/Datos!T10),(Datos!J10-Datos!T10)/Datos!T10," - ")</f>
        <v>-0.11764705882352941</v>
      </c>
      <c r="D10" s="515">
        <f>IF(ISNUMBER((Datos!K10-Datos!U10)/Datos!U10),(Datos!K10-Datos!U10)/Datos!U10," - ")</f>
        <v>-0.35294117647058826</v>
      </c>
      <c r="E10" s="515">
        <f>IF(ISNUMBER((Datos!L10-Datos!V10)/Datos!V10),(Datos!L10-Datos!V10)/Datos!V10," - ")</f>
        <v>0.1388888888888889</v>
      </c>
      <c r="F10" s="515">
        <f>IF(ISNUMBER((Datos!M10-Datos!W10)/Datos!W10),(Datos!M10-Datos!W10)/Datos!W10," - ")</f>
        <v>-0.6</v>
      </c>
      <c r="G10" s="516" t="str">
        <f>IF(ISNUMBER((Datos!N10-Datos!X10)/Datos!X10),(Datos!N10-Datos!X10)/Datos!X10," - ")</f>
        <v xml:space="preserve"> - </v>
      </c>
      <c r="H10" s="514">
        <f>IF(ISNUMBER(((NºAsuntos!G10/NºAsuntos!E10)-Datos!BD10)/Datos!BD10),((NºAsuntos!G10/NºAsuntos!E10)-Datos!BD10)/Datos!BD10," - ")</f>
        <v>-0.26666666666666672</v>
      </c>
      <c r="I10" s="515">
        <f>IF(ISNUMBER(((NºAsuntos!I10/NºAsuntos!G10)-Datos!BE10)/Datos!BE10),((NºAsuntos!I10/NºAsuntos!G10)-Datos!BE10)/Datos!BE10," - ")</f>
        <v>0.76010101010100994</v>
      </c>
      <c r="J10" s="521">
        <f>IF(ISNUMBER((('Resol  Asuntos'!D10/NºAsuntos!G10)-Datos!BF10)/Datos!BF10),(('Resol  Asuntos'!D10/NºAsuntos!G10)-Datos!BF10)/Datos!BF10," - ")</f>
        <v>-0.38181818181818183</v>
      </c>
      <c r="K10" s="522">
        <f>IF(ISNUMBER((((NºAsuntos!C10+NºAsuntos!E10)/NºAsuntos!G10)-Datos!BG10)/Datos!BG10),(((NºAsuntos!C10+NºAsuntos!E10)/NºAsuntos!G10)-Datos!BG10)/Datos!BG10," - ")</f>
        <v>0.6149131767109296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0.23286729314691726</v>
      </c>
      <c r="C12" s="515">
        <f>IF(ISNUMBER(
   IF(J_V="SI",(Datos!J12-Datos!T12)/Datos!T12,(Datos!J12+Datos!Z12-(Datos!T12+Datos!AH12))/(Datos!T12+Datos!AH12))
     ),IF(J_V="SI",(Datos!J12-Datos!T12)/Datos!T12,(Datos!J12+Datos!Z12-(Datos!T12+Datos!AH12))/(Datos!T12+Datos!AH12))," - ")</f>
        <v>0.13555427914991383</v>
      </c>
      <c r="D12" s="515">
        <f>IF(ISNUMBER(
   IF(J_V="SI",(Datos!K12-Datos!U12)/Datos!U12,(Datos!K12+Datos!AA12-(Datos!U12+Datos!AI12))/(Datos!U12+Datos!AI12))
     ),IF(J_V="SI",(Datos!K12-Datos!U12)/Datos!U12,(Datos!K12+Datos!AA12-(Datos!U12+Datos!AI12))/(Datos!U12+Datos!AI12))," - ")</f>
        <v>-0.14443885254151989</v>
      </c>
      <c r="E12" s="515">
        <f>IF(ISNUMBER(
   IF(J_V="SI",(Datos!L12-Datos!V12)/Datos!V12,(Datos!L12+Datos!AB12-(Datos!V12+Datos!AJ12))/(Datos!V12+Datos!AJ12))
     ),IF(J_V="SI",(Datos!L12-Datos!V12)/Datos!V12,(Datos!L12+Datos!AB12-(Datos!V12+Datos!AJ12))/(Datos!V12+Datos!AJ12))," - ")</f>
        <v>0.45065312046444123</v>
      </c>
      <c r="F12" s="515">
        <f>IF(ISNUMBER((Datos!M12-Datos!W12)/Datos!W12),(Datos!M12-Datos!W12)/Datos!W12," - ")</f>
        <v>7.4999999999999997E-2</v>
      </c>
      <c r="G12" s="516">
        <f>IF(ISNUMBER((Datos!N12-Datos!X12)/Datos!X12),(Datos!N12-Datos!X12)/Datos!X12," - ")</f>
        <v>-0.19301848049281314</v>
      </c>
      <c r="H12" s="514">
        <f>IF(ISNUMBER(((NºAsuntos!G12/NºAsuntos!E12)-Datos!BD12)/Datos!BD12),((NºAsuntos!G12/NºAsuntos!E12)-Datos!BD12)/Datos!BD12," - ")</f>
        <v>-0.24656957120626508</v>
      </c>
      <c r="I12" s="515">
        <f>IF(ISNUMBER(((NºAsuntos!I12/NºAsuntos!G12)-Datos!BE12)/Datos!BE12),((NºAsuntos!I12/NºAsuntos!G12)-Datos!BE12)/Datos!BE12," - ")</f>
        <v>0.69555750021343832</v>
      </c>
      <c r="J12" s="521">
        <f>IF(ISNUMBER((('Resol  Asuntos'!D12/NºAsuntos!G12)-Datos!BF12)/Datos!BF12),(('Resol  Asuntos'!D12/NºAsuntos!G12)-Datos!BF12)/Datos!BF12," - ")</f>
        <v>-0.58719168981761083</v>
      </c>
      <c r="K12" s="522">
        <f>IF(ISNUMBER((((NºAsuntos!C12+NºAsuntos!E12)/NºAsuntos!G12)-Datos!BG12)/Datos!BG12),(((NºAsuntos!C12+NºAsuntos!E12)/NºAsuntos!G12)-Datos!BG12)/Datos!BG12," - ")</f>
        <v>0.40856256263973484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0.23043968432919956</v>
      </c>
      <c r="C14" s="1152">
        <f>IF(ISNUMBER(
   IF(J_V="SI",(Datos!J14-Datos!T14)/Datos!T14,(Datos!J14+Datos!Z14-(Datos!T14+Datos!AH14))/(Datos!T14+Datos!AH14))
     ),IF(J_V="SI",(Datos!J14-Datos!T14)/Datos!T14,(Datos!J14+Datos!Z14-(Datos!T14+Datos!AH14))/(Datos!T14+Datos!AH14))," - ")</f>
        <v>0.13310580204778158</v>
      </c>
      <c r="D14" s="1152">
        <f>IF(ISNUMBER(
   IF(J_V="SI",(Datos!K14-Datos!U14)/Datos!U14,(Datos!K14+Datos!AA14-(Datos!U14+Datos!AI14))/(Datos!U14+Datos!AI14))
     ),IF(J_V="SI",(Datos!K14-Datos!U14)/Datos!U14,(Datos!K14+Datos!AA14-(Datos!U14+Datos!AI14))/(Datos!U14+Datos!AI14))," - ")</f>
        <v>-0.14620758483033933</v>
      </c>
      <c r="E14" s="1152">
        <f>IF(ISNUMBER(
   IF(J_V="SI",(Datos!L14-Datos!V14)/Datos!V14,(Datos!L14+Datos!AB14-(Datos!V14+Datos!AJ14))/(Datos!V14+Datos!AJ14))
     ),IF(J_V="SI",(Datos!L14-Datos!V14)/Datos!V14,(Datos!L14+Datos!AB14-(Datos!V14+Datos!AJ14))/(Datos!V14+Datos!AJ14))," - ")</f>
        <v>0.44531621493105089</v>
      </c>
      <c r="F14" s="1153">
        <f>IF(ISNUMBER((Datos!M14-Datos!W14)/Datos!W14),(Datos!M14-Datos!W14)/Datos!W14," - ")</f>
        <v>5.4545454545454543E-2</v>
      </c>
      <c r="G14" s="1154">
        <f>IF(ISNUMBER((Datos!N14-Datos!X14)/Datos!X14),(Datos!N14-Datos!X14)/Datos!X14," - ")</f>
        <v>-0.18891170431211499</v>
      </c>
      <c r="H14" s="1154">
        <f>IF(ISNUMBER(((NºAsuntos!G14/NºAsuntos!E14)-Datos!BD14)/Datos!BD14),((NºAsuntos!G14/NºAsuntos!E14)-Datos!BD14)/Datos!BD14," - ")</f>
        <v>-0.24650247697376335</v>
      </c>
      <c r="I14" s="1154">
        <f>IF(ISNUMBER(((NºAsuntos!I14/NºAsuntos!G14)-Datos!BE14)/Datos!BE14),((NºAsuntos!I14/NºAsuntos!G14)-Datos!BE14)/Datos!BE14," - ")</f>
        <v>0.69281922543648522</v>
      </c>
      <c r="J14" s="1154">
        <f>IF(ISNUMBER((('Resol  Asuntos'!D14/NºAsuntos!G14)-Datos!BF14)/Datos!BF14),(('Resol  Asuntos'!D14/NºAsuntos!G14)-Datos!BF14)/Datos!BF14," - ")</f>
        <v>-0.58577924762298461</v>
      </c>
      <c r="K14" s="1154">
        <f>IF(ISNUMBER((((NºAsuntos!C14+NºAsuntos!E14)/NºAsuntos!G14)-Datos!BG14)/Datos!BG14),(((NºAsuntos!C14+NºAsuntos!E14)/NºAsuntos!G14)-Datos!BG14)/Datos!BG14," - ")</f>
        <v>0.40878462070871852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0.15293118096856415</v>
      </c>
      <c r="C17" s="515">
        <f>IF(ISNUMBER(
   IF(D_I="SI",(Datos!J17-Datos!T17)/Datos!T17,(Datos!J17+Datos!AD17-(Datos!T17+Datos!AL17))/(Datos!T17+Datos!AL17))
     ),IF(D_I="SI",(Datos!J17-Datos!T17)/Datos!T17,(Datos!J17+Datos!AD17-(Datos!T17+Datos!AL17))/(Datos!T17+Datos!AL17))," - ")</f>
        <v>0.17350611951043918</v>
      </c>
      <c r="D17" s="515">
        <f>IF(ISNUMBER(
   IF(D_I="SI",(Datos!K17-Datos!U17)/Datos!U17,(Datos!K17+Datos!AE17-(Datos!U17+Datos!AM17))/(Datos!U17+Datos!AM17))
     ),IF(D_I="SI",(Datos!K17-Datos!U17)/Datos!U17,(Datos!K17+Datos!AE17-(Datos!U17+Datos!AM17))/(Datos!U17+Datos!AM17))," - ")</f>
        <v>0.24255952380952381</v>
      </c>
      <c r="E17" s="515">
        <f>IF(ISNUMBER(
   IF(D_I="SI",(Datos!L17-Datos!V17)/Datos!V17,(Datos!L17+Datos!AF17-(Datos!V17+Datos!AN17))/(Datos!V17+Datos!AN17))
     ),IF(D_I="SI",(Datos!L17-Datos!V17)/Datos!V17,(Datos!L17+Datos!AF17-(Datos!V17+Datos!AN17))/(Datos!V17+Datos!AN17))," - ")</f>
        <v>0.2573940847322142</v>
      </c>
      <c r="F17" s="515">
        <f>IF(ISNUMBER((Datos!M17-Datos!W17)/Datos!W17),(Datos!M17-Datos!W17)/Datos!W17," - ")</f>
        <v>0.30232558139534882</v>
      </c>
      <c r="G17" s="516">
        <f>IF(ISNUMBER((Datos!N17-Datos!X17)/Datos!X17),(Datos!N17-Datos!X17)/Datos!X17," - ")</f>
        <v>0.30522088353413657</v>
      </c>
      <c r="H17" s="514">
        <f>IF(ISNUMBER(((NºAsuntos!G17/NºAsuntos!E17)-Datos!BD17)/Datos!BD17),((NºAsuntos!G17/NºAsuntos!E17)-Datos!BD17)/Datos!BD17," - ")</f>
        <v>5.8843667835232302E-2</v>
      </c>
      <c r="I17" s="515">
        <f>IF(ISNUMBER(((NºAsuntos!I17/NºAsuntos!G17)-Datos!BE17)/Datos!BE17),((NºAsuntos!I17/NºAsuntos!G17)-Datos!BE17)/Datos!BE17," - ")</f>
        <v>1.1938712503051507E-2</v>
      </c>
      <c r="J17" s="521">
        <f>IF(ISNUMBER((('Resol  Asuntos'!D17/NºAsuntos!G17)-Datos!BF17)/Datos!BF17),(('Resol  Asuntos'!D17/NºAsuntos!G17)-Datos!BF17)/Datos!BF17," - ")</f>
        <v>4.8099150536136899E-2</v>
      </c>
      <c r="K17" s="522">
        <f>IF(ISNUMBER((((NºAsuntos!C17+NºAsuntos!E17)/NºAsuntos!G17)-Datos!BG17)/Datos!BG17),(((NºAsuntos!C17+NºAsuntos!E17)/NºAsuntos!G17)-Datos!BG17)/Datos!BG17," - ")</f>
        <v>-6.3168752129412212E-2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2.4411764705882355</v>
      </c>
      <c r="C18" s="515">
        <f>IF(ISNUMBER(
   IF(D_I="SI",(Datos!J18-Datos!T18)/Datos!T18,(Datos!J18+Datos!AD18-(Datos!T18+Datos!AL18))/(Datos!T18+Datos!AL18))
     ),IF(D_I="SI",(Datos!J18-Datos!T18)/Datos!T18,(Datos!J18+Datos!AD18-(Datos!T18+Datos!AL18))/(Datos!T18+Datos!AL18))," - ")</f>
        <v>1.3578947368421053</v>
      </c>
      <c r="D18" s="515">
        <f>IF(ISNUMBER(
   IF(D_I="SI",(Datos!K18-Datos!U18)/Datos!U18,(Datos!K18+Datos!AE18-(Datos!U18+Datos!AM18))/(Datos!U18+Datos!AM18))
     ),IF(D_I="SI",(Datos!K18-Datos!U18)/Datos!U18,(Datos!K18+Datos!AE18-(Datos!U18+Datos!AM18))/(Datos!U18+Datos!AM18))," - ")</f>
        <v>3.5576923076923075</v>
      </c>
      <c r="E18" s="515">
        <f>IF(ISNUMBER(
   IF(D_I="SI",(Datos!L18-Datos!V18)/Datos!V18,(Datos!L18+Datos!AF18-(Datos!V18+Datos!AN18))/(Datos!V18+Datos!AN18))
     ),IF(D_I="SI",(Datos!L18-Datos!V18)/Datos!V18,(Datos!L18+Datos!AF18-(Datos!V18+Datos!AN18))/(Datos!V18+Datos!AN18))," - ")</f>
        <v>1.0090090090090089</v>
      </c>
      <c r="F18" s="515">
        <f>IF(ISNUMBER((Datos!M18-Datos!W18)/Datos!W18),(Datos!M18-Datos!W18)/Datos!W18," - ")</f>
        <v>1</v>
      </c>
      <c r="G18" s="516">
        <f>IF(ISNUMBER((Datos!N18-Datos!X18)/Datos!X18),(Datos!N18-Datos!X18)/Datos!X18," - ")</f>
        <v>3.4878048780487805</v>
      </c>
      <c r="H18" s="514">
        <f>IF(ISNUMBER(((NºAsuntos!G18/NºAsuntos!E18)-Datos!BD18)/Datos!BD18),((NºAsuntos!G18/NºAsuntos!E18)-Datos!BD18)/Datos!BD18," - ")</f>
        <v>0.93294986263736235</v>
      </c>
      <c r="I18" s="515">
        <f>IF(ISNUMBER(((NºAsuntos!I18/NºAsuntos!G18)-Datos!BE18)/Datos!BE18),((NºAsuntos!I18/NºAsuntos!G18)-Datos!BE18)/Datos!BE18," - ")</f>
        <v>-0.55920477439464777</v>
      </c>
      <c r="J18" s="521">
        <f>IF(ISNUMBER((('Resol  Asuntos'!D18/NºAsuntos!G18)-Datos!BF18)/Datos!BF18),(('Resol  Asuntos'!D18/NºAsuntos!G18)-Datos!BF18)/Datos!BF18," - ")</f>
        <v>-0.56118143459915615</v>
      </c>
      <c r="K18" s="522">
        <f>IF(ISNUMBER((((NºAsuntos!C18+NºAsuntos!E18)/NºAsuntos!G18)-Datos!BG18)/Datos!BG18),(((NºAsuntos!C18+NºAsuntos!E18)/NºAsuntos!G18)-Datos!BG18)/Datos!BG18," - ")</f>
        <v>-0.38350029768838501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0.27791164658634537</v>
      </c>
      <c r="C23" s="1152">
        <f>IF(ISNUMBER(
   IF(Criterios!B14="SI",(Datos!J23-Datos!T23)/Datos!T23,(Datos!J23+Datos!AD23-(Datos!T23+Datos!AL23))/(Datos!T23+Datos!AL23))
     ),IF(Criterios!B14="SI",(Datos!J23-Datos!T23)/Datos!T23,(Datos!J23+Datos!AD23-(Datos!T23+Datos!AL23))/(Datos!T23+Datos!AL23))," - ")</f>
        <v>0.24932614555256064</v>
      </c>
      <c r="D23" s="1152">
        <f>IF(ISNUMBER(
   IF(Criterios!B14="SI",(Datos!K23-Datos!U23)/Datos!U23,(Datos!K23+Datos!AE23-(Datos!U23+Datos!AM23))/(Datos!U23+Datos!AM23))
     ),IF(Criterios!B14="SI",(Datos!K23-Datos!U23)/Datos!U23,(Datos!K23+Datos!AE23-(Datos!U23+Datos!AM23))/(Datos!U23+Datos!AM23))," - ")</f>
        <v>0.36604584527220629</v>
      </c>
      <c r="E23" s="1152">
        <f>IF(ISNUMBER(
   IF(Criterios!B14="SI",(Datos!L23-Datos!V23)/Datos!V23,(Datos!L23+Datos!AF23-(Datos!V23+Datos!AN23))/(Datos!V23+Datos!AN23))
     ),IF(Criterios!B14="SI",(Datos!L23-Datos!V23)/Datos!V23,(Datos!L23+Datos!AF23-(Datos!V23+Datos!AN23))/(Datos!V23+Datos!AN23))," - ")</f>
        <v>0.3186490455212922</v>
      </c>
      <c r="F23" s="1153">
        <f>IF(ISNUMBER((Datos!M23-Datos!W23)/Datos!W23),(Datos!M23-Datos!W23)/Datos!W23," - ")</f>
        <v>0.32075471698113206</v>
      </c>
      <c r="G23" s="1154">
        <f>IF(ISNUMBER((Datos!N23-Datos!X23)/Datos!X23),(Datos!N23-Datos!X23)/Datos!X23," - ")</f>
        <v>0.47081218274111675</v>
      </c>
      <c r="H23" s="1154">
        <f>IF(ISNUMBER(((NºAsuntos!G23/NºAsuntos!E23)-Datos!BD23)/Datos!BD23),((NºAsuntos!G23/NºAsuntos!E23)-Datos!BD23)/Datos!BD23," - ")</f>
        <v>9.342612426319008E-2</v>
      </c>
      <c r="I23" s="1154">
        <f>IF(ISNUMBER(((NºAsuntos!I23/NºAsuntos!G23)-Datos!BE23)/Datos!BE23),((NºAsuntos!I23/NºAsuntos!G23)-Datos!BE23)/Datos!BE23," - ")</f>
        <v>-3.4696346330506583E-2</v>
      </c>
      <c r="J23" s="1154">
        <f>IF(ISNUMBER((('Resol  Asuntos'!D23/NºAsuntos!G23)-Datos!BF23)/Datos!BF23),(('Resol  Asuntos'!D23/NºAsuntos!G23)-Datos!BF23)/Datos!BF23," - ")</f>
        <v>-3.3154910904215837E-2</v>
      </c>
      <c r="K23" s="1154">
        <f>IF(ISNUMBER((((NºAsuntos!C23+NºAsuntos!E23)/NºAsuntos!G23)-Datos!BG23)/Datos!BG23),(((NºAsuntos!C23+NºAsuntos!E23)/NºAsuntos!G23)-Datos!BG23)/Datos!BG23," - ")</f>
        <v>-7.5896924082323403E-2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0.24084507042253522</v>
      </c>
      <c r="C31" s="1092">
        <f>IF(ISNUMBER(
   IF(J_V="SI",(Datos!J31-Datos!T31)/Datos!T31,(Datos!J31+Datos!Z31-(Datos!T31+Datos!AH31))/(Datos!T31+Datos!AH31))
     ),IF(J_V="SI",(Datos!J31-Datos!T31)/Datos!T31,(Datos!J31+Datos!Z31-(Datos!T31+Datos!AH31))/(Datos!T31+Datos!AH31))," - ")</f>
        <v>0.18630475015422579</v>
      </c>
      <c r="D31" s="1092">
        <f>IF(ISNUMBER(
   IF(J_V="SI",(Datos!K31-Datos!U31)/Datos!U31,(Datos!K31+Datos!AA31-(Datos!U31+Datos!AI31))/(Datos!U31+Datos!AI31))
     ),IF(J_V="SI",(Datos!K31-Datos!U31)/Datos!U31,(Datos!K31+Datos!AA31-(Datos!U31+Datos!AI31))/(Datos!U31+Datos!AI31))," - ")</f>
        <v>6.4117647058823529E-2</v>
      </c>
      <c r="E31" s="1092">
        <f>IF(ISNUMBER(
   IF(J_V="SI",(Datos!L31-Datos!V31)/Datos!V31,(Datos!L31+Datos!AB31-(Datos!V31+Datos!AJ31))/(Datos!V31+Datos!AJ31))
     ),IF(J_V="SI",(Datos!L31-Datos!V31)/Datos!V31,(Datos!L31+Datos!AB31-(Datos!V31+Datos!AJ31))/(Datos!V31+Datos!AJ31))," - ")</f>
        <v>0.41433189655172414</v>
      </c>
      <c r="F31" s="1093">
        <f>IF(ISNUMBER((Datos!M31-Datos!W31)/Datos!W31),(Datos!M31-Datos!W31)/Datos!W31," - ")</f>
        <v>0.17310924369747899</v>
      </c>
      <c r="G31" s="1094">
        <f>IF(ISNUMBER((Datos!N31-Datos!X31)/Datos!X31),(Datos!N31-Datos!X31)/Datos!X31," - ")</f>
        <v>0.10612939841089671</v>
      </c>
      <c r="H31" s="1095">
        <f>IF(ISNUMBER((Tasas!B31-Datos!BD31)/Datos!BD31),(Tasas!B31-Datos!BD31)/Datos!BD31," - ")</f>
        <v>-0.10299807286409096</v>
      </c>
      <c r="I31" s="1096">
        <f>IF(ISNUMBER((Tasas!C31-Datos!BE31)/Datos!BE31),(Tasas!C31-Datos!BE31)/Datos!BE31," - ")</f>
        <v>0.32911234059587119</v>
      </c>
      <c r="J31" s="1097">
        <f>IF(ISNUMBER((Tasas!D31-Datos!BF31)/Datos!BF31),(Tasas!D31-Datos!BF31)/Datos!BF31," - ")</f>
        <v>-0.47482585294327223</v>
      </c>
      <c r="K31" s="1097">
        <f>IF(ISNUMBER((Tasas!E31-Datos!BG31)/Datos!BG31),(Tasas!E31-Datos!BG31)/Datos!BG31," - ")</f>
        <v>0.14745458738338993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E9N/gor3d4uERhDqnbhBQLxF3varWbMHENpNUhJltyfpS6u7WhqkBncljYJ1YppuWRI8VtDojwI7yrb3qEMRQ==" saltValue="+fF7Fs7RrKn7jJAQNpxq4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NAVALCARNERO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0.73333333333333328</v>
      </c>
      <c r="C10" s="498">
        <f>IF(ISNUMBER(NºAsuntos!I10/NºAsuntos!G10),NºAsuntos!I10/NºAsuntos!G10," - ")</f>
        <v>7.4545454545454541</v>
      </c>
      <c r="D10" s="499">
        <f>IF(ISNUMBER('Resol  Asuntos'!D10/NºAsuntos!G10),'Resol  Asuntos'!D10/NºAsuntos!G10," - ")</f>
        <v>0.36363636363636365</v>
      </c>
      <c r="E10" s="500">
        <f>IF(ISNUMBER((NºAsuntos!C10+NºAsuntos!E10)/NºAsuntos!G10),(NºAsuntos!C10+NºAsuntos!E10)/NºAsuntos!G10," - ")</f>
        <v>8.454545454545455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0.85988872028325747</v>
      </c>
      <c r="C12" s="498">
        <f>IF(ISNUMBER(NºAsuntos!I12/NºAsuntos!G12),NºAsuntos!I12/NºAsuntos!G12," - ")</f>
        <v>3.5276470588235296</v>
      </c>
      <c r="D12" s="499">
        <f>IF(ISNUMBER('Resol  Asuntos'!D12/NºAsuntos!G12),'Resol  Asuntos'!D12/NºAsuntos!G12," - ")</f>
        <v>0.2023529411764706</v>
      </c>
      <c r="E12" s="500">
        <f>IF(ISNUMBER((NºAsuntos!C12+NºAsuntos!E12)/NºAsuntos!G12),(NºAsuntos!C12+NºAsuntos!E12)/NºAsuntos!G12," - ")</f>
        <v>4.3270588235294118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0.85893574297188757</v>
      </c>
      <c r="C14" s="1156">
        <f>IF(ISNUMBER(NºAsuntos!I14/NºAsuntos!G14),NºAsuntos!I14/NºAsuntos!G14," - ")</f>
        <v>3.5528930450029224</v>
      </c>
      <c r="D14" s="1157">
        <f>IF(ISNUMBER('Resol  Asuntos'!D14/NºAsuntos!G14),'Resol  Asuntos'!D14/NºAsuntos!G14," - ")</f>
        <v>0.20338983050847459</v>
      </c>
      <c r="E14" s="1158">
        <f>IF(ISNUMBER((NºAsuntos!C14+NºAsuntos!E14)/NºAsuntos!G14),(NºAsuntos!C14+NºAsuntos!E14)/NºAsuntos!G14," - ")</f>
        <v>4.3535943892460551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1.0245398773006136</v>
      </c>
      <c r="C17" s="498">
        <f>IF(ISNUMBER(NºAsuntos!I17/NºAsuntos!G17),NºAsuntos!I17/NºAsuntos!G17," - ")</f>
        <v>0.94191616766467068</v>
      </c>
      <c r="D17" s="499">
        <f>IF(ISNUMBER('Resol  Asuntos'!D17/NºAsuntos!G17),'Resol  Asuntos'!D17/NºAsuntos!G17," - ")</f>
        <v>0.20119760479041915</v>
      </c>
      <c r="E17" s="500">
        <f>IF(ISNUMBER((NºAsuntos!C17+NºAsuntos!E17)/NºAsuntos!G17),(NºAsuntos!C17+NºAsuntos!E17)/NºAsuntos!G17," - ")</f>
        <v>1.788622754491018</v>
      </c>
      <c r="G17" s="523"/>
    </row>
    <row r="18" spans="1:7">
      <c r="A18" s="450" t="str">
        <f>Datos!A18</f>
        <v>Jdos. Violencia contra la mujer</v>
      </c>
      <c r="B18" s="497">
        <f>IF(ISNUMBER(NºAsuntos!G18/NºAsuntos!E18),NºAsuntos!G18/NºAsuntos!E18," - ")</f>
        <v>1.0580357142857142</v>
      </c>
      <c r="C18" s="498">
        <f>IF(ISNUMBER(NºAsuntos!I18/NºAsuntos!G18),NºAsuntos!I18/NºAsuntos!G18," - ")</f>
        <v>0.94092827004219415</v>
      </c>
      <c r="D18" s="499">
        <f>IF(ISNUMBER('Resol  Asuntos'!D18/NºAsuntos!G18),'Resol  Asuntos'!D18/NºAsuntos!G18," - ")</f>
        <v>5.9071729957805907E-2</v>
      </c>
      <c r="E18" s="500">
        <f>IF(ISNUMBER((NºAsuntos!C18+NºAsuntos!E18)/NºAsuntos!G18),(NºAsuntos!C18+NºAsuntos!E18)/NºAsuntos!G18," - ")</f>
        <v>1.9324894514767932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1.028586839266451</v>
      </c>
      <c r="C23" s="1156">
        <f>IF(ISNUMBER(NºAsuntos!I23/NºAsuntos!G23),NºAsuntos!I23/NºAsuntos!G23," - ")</f>
        <v>0.94179339276350293</v>
      </c>
      <c r="D23" s="1159">
        <f>IF(ISNUMBER('Resol  Asuntos'!D23/NºAsuntos!G23),'Resol  Asuntos'!D23/NºAsuntos!G23," - ")</f>
        <v>0.18353434714210803</v>
      </c>
      <c r="E23" s="1158">
        <f>IF(ISNUMBER((NºAsuntos!C23+NºAsuntos!E23)/NºAsuntos!G23),(NºAsuntos!C23+NºAsuntos!E23)/NºAsuntos!G23," - ")</f>
        <v>1.8065023597273204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0.94071762870514819</v>
      </c>
      <c r="C31" s="1099">
        <f>IF(ISNUMBER(NºAsuntos!I31/NºAsuntos!G31),NºAsuntos!I31/NºAsuntos!G31," - ")</f>
        <v>2.1766169154228856</v>
      </c>
      <c r="D31" s="1100">
        <f>IF(ISNUMBER('Resol  Asuntos'!D31/NºAsuntos!G31),'Resol  Asuntos'!D31/NºAsuntos!G31," - ")</f>
        <v>0.19292426755113323</v>
      </c>
      <c r="E31" s="1101">
        <f>IF(ISNUMBER((NºAsuntos!C31+NºAsuntos!E31)/NºAsuntos!G31),(NºAsuntos!C31+NºAsuntos!E31)/NºAsuntos!G31," - ")</f>
        <v>3.0110558319513543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5qYTiqFhV+m+T8bibRBmAI+tTFAe/x56VqGujm4jRoTvpyrwBcFmq+9SL0IX5i45MbsHoV4rlQeYV1xBnfgw==" saltValue="HSYFDJo846sLtk+EAODq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NAVALCARNERO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78</v>
      </c>
      <c r="G10" s="373">
        <f>IF(ISNUMBER(Datos!I10),Datos!I10," - ")</f>
        <v>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2</v>
      </c>
      <c r="Y10" s="374">
        <f t="shared" ref="Y10:Y13" si="0">SUM(W10:X10)</f>
        <v>13</v>
      </c>
      <c r="Z10" s="375" t="str">
        <f>IF(ISNUMBER(Datos!CC10),Datos!CC10," - ")</f>
        <v xml:space="preserve"> - </v>
      </c>
      <c r="AA10" s="372">
        <f>IF(ISNUMBER(Datos!L10),Datos!L10,"-")</f>
        <v>82</v>
      </c>
      <c r="AB10" s="374">
        <f>IF(ISNUMBER(Datos!R10),Datos!R10," - ")</f>
        <v>88</v>
      </c>
      <c r="AC10" s="374">
        <f t="shared" ref="AC10:AC13" si="1">IF(ISNUMBER(AA10+AB10),AA10+AB10," - ")</f>
        <v>170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0.73333333333333328</v>
      </c>
      <c r="AM10" s="284">
        <f>IF(ISNUMBER(((NºAsuntos!I10/NºAsuntos!G10)*11)/factor_trimestre),((NºAsuntos!I10/NºAsuntos!G10)*11)/factor_trimestre," - ")</f>
        <v>22.363636363636363</v>
      </c>
      <c r="AN10" s="267">
        <f>IF(ISNUMBER('Resol  Asuntos'!D10/NºAsuntos!G10),'Resol  Asuntos'!D10/NºAsuntos!G10," - ")</f>
        <v>0.36363636363636365</v>
      </c>
      <c r="AO10" s="268">
        <f>IF(ISNUMBER((NºAsuntos!C10+NºAsuntos!E10)/NºAsuntos!G10),(NºAsuntos!C10+NºAsuntos!E10)/NºAsuntos!G10," - ")</f>
        <v>8.454545454545455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198</v>
      </c>
      <c r="Y12" s="374">
        <f t="shared" si="0"/>
        <v>198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7443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344</v>
      </c>
      <c r="AJ12" s="243" t="str">
        <f>IF(ISNUMBER(Datos!BW12),Datos!BW12," - ")</f>
        <v xml:space="preserve"> - </v>
      </c>
      <c r="AK12" s="242" t="str">
        <f>IF(ISNUMBER(Datos!BX12),Datos!BX12," - ")</f>
        <v xml:space="preserve"> - </v>
      </c>
      <c r="AL12" s="266">
        <f>IF(ISNUMBER(NºAsuntos!G12/NºAsuntos!E12),NºAsuntos!G12/NºAsuntos!E12," - ")</f>
        <v>0.85988872028325747</v>
      </c>
      <c r="AM12" s="284">
        <f>IF(ISNUMBER(((NºAsuntos!I12/NºAsuntos!G12)*11)/factor_trimestre),((NºAsuntos!I12/NºAsuntos!G12)*11)/factor_trimestre," - ")</f>
        <v>10.582941176470589</v>
      </c>
      <c r="AN12" s="267">
        <f>IF(ISNUMBER('Resol  Asuntos'!D12/NºAsuntos!G12),'Resol  Asuntos'!D12/NºAsuntos!G12," - ")</f>
        <v>0.2023529411764706</v>
      </c>
      <c r="AO12" s="268">
        <f>IF(ISNUMBER((NºAsuntos!C12+NºAsuntos!E12)/NºAsuntos!G12),(NºAsuntos!C12+NºAsuntos!E12)/NºAsuntos!G12," - ")</f>
        <v>4.3270588235294118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78</v>
      </c>
      <c r="G14" s="1163">
        <f t="shared" si="5"/>
        <v>78</v>
      </c>
      <c r="H14" s="1162">
        <f t="shared" si="5"/>
        <v>0</v>
      </c>
      <c r="I14" s="1164">
        <f t="shared" si="5"/>
        <v>0</v>
      </c>
      <c r="J14" s="1164">
        <f t="shared" si="5"/>
        <v>0</v>
      </c>
      <c r="K14" s="1164">
        <f t="shared" si="5"/>
        <v>0</v>
      </c>
      <c r="L14" s="1164">
        <f t="shared" si="5"/>
        <v>321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200</v>
      </c>
      <c r="Y14" s="1165">
        <f t="shared" si="6"/>
        <v>211</v>
      </c>
      <c r="Z14" s="1165">
        <f t="shared" si="6"/>
        <v>0</v>
      </c>
      <c r="AA14" s="1165">
        <f t="shared" si="6"/>
        <v>82</v>
      </c>
      <c r="AB14" s="1165">
        <f t="shared" si="6"/>
        <v>7531</v>
      </c>
      <c r="AC14" s="1165">
        <f t="shared" si="6"/>
        <v>170</v>
      </c>
      <c r="AD14" s="1165">
        <f t="shared" si="6"/>
        <v>0</v>
      </c>
      <c r="AE14" s="1169">
        <f t="shared" si="6"/>
        <v>0</v>
      </c>
      <c r="AF14" s="1162">
        <f t="shared" si="6"/>
        <v>0</v>
      </c>
      <c r="AG14" s="1170">
        <f t="shared" si="6"/>
        <v>0</v>
      </c>
      <c r="AH14" s="1167">
        <f t="shared" si="6"/>
        <v>0</v>
      </c>
      <c r="AI14" s="1162">
        <f t="shared" si="6"/>
        <v>348</v>
      </c>
      <c r="AJ14" s="1164">
        <f t="shared" si="6"/>
        <v>0</v>
      </c>
      <c r="AK14" s="1167">
        <f>SUBTOTAL(9,AK9:AK13)</f>
        <v>0</v>
      </c>
      <c r="AL14" s="1171">
        <f>IF(ISNUMBER(NºAsuntos!G14/NºAsuntos!E14),NºAsuntos!G14/NºAsuntos!E14," - ")</f>
        <v>0.85893574297188757</v>
      </c>
      <c r="AM14" s="1171">
        <f>IF(ISNUMBER(((NºAsuntos!I14/NºAsuntos!G14)*11)/factor_trimestre),((NºAsuntos!I14/NºAsuntos!G14)*11)/factor_trimestre," - ")</f>
        <v>10.658679135008768</v>
      </c>
      <c r="AN14" s="1172">
        <f>IF(ISNUMBER('Resol  Asuntos'!D14/NºAsuntos!G14),'Resol  Asuntos'!D14/NºAsuntos!G14," - ")</f>
        <v>0.20338983050847459</v>
      </c>
      <c r="AO14" s="1173">
        <f>IF(ISNUMBER((NºAsuntos!C14+NºAsuntos!E14)/NºAsuntos!G14),(NºAsuntos!C14+NºAsuntos!E14)/NºAsuntos!G14," - ")</f>
        <v>4.3535943892460551</v>
      </c>
      <c r="AP14" s="1174" t="str">
        <f t="shared" si="2"/>
        <v xml:space="preserve"> - </v>
      </c>
      <c r="AQ14" s="1174">
        <f>IF(ISNUMBER((H14-W14+K14)/(F14)),(H14-W14+K14)/(F14)," - ")</f>
        <v>-0.14102564102564102</v>
      </c>
      <c r="AR14" s="1175">
        <f>IF(ISNUMBER((Datos!P14-Datos!Q14)/(Datos!R14-Datos!P14+Datos!Q14)),(Datos!P14-Datos!Q14)/(Datos!R14-Datos!P14+Datos!Q14)," - ")</f>
        <v>1.6329284750337382E-2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1613</v>
      </c>
      <c r="G17" s="373">
        <f>IF(ISNUMBER(IF(D_I="SI",Datos!I17,Datos!I17+Datos!AC17)),IF(D_I="SI",Datos!I17,Datos!I17+Datos!AC17)," - ")</f>
        <v>1357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1670</v>
      </c>
      <c r="X17" s="240">
        <f>IF(ISNUMBER(Datos!Q17),Datos!Q17," - ")</f>
        <v>97</v>
      </c>
      <c r="Y17" s="374">
        <f t="shared" ref="Y17:Y22" si="9">SUM(W17:X17)</f>
        <v>1767</v>
      </c>
      <c r="Z17" s="375" t="str">
        <f>IF(ISNUMBER(Datos!CC17),Datos!CC17," - ")</f>
        <v xml:space="preserve"> - </v>
      </c>
      <c r="AA17" s="372">
        <f>IF(ISNUMBER(IF(D_I="SI",Datos!L17,Datos!L17+Datos!AF17)),IF(D_I="SI",Datos!L17,Datos!L17+Datos!AF17)," - ")</f>
        <v>1573</v>
      </c>
      <c r="AB17" s="374">
        <f>IF(ISNUMBER(Datos!R17),Datos!R17," - ")</f>
        <v>551</v>
      </c>
      <c r="AC17" s="374">
        <f t="shared" si="8"/>
        <v>2124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336</v>
      </c>
      <c r="AJ17" s="245" t="str">
        <f>IF(ISNUMBER(Datos!BW17),Datos!BW17," - ")</f>
        <v xml:space="preserve"> - </v>
      </c>
      <c r="AK17" s="246" t="str">
        <f>IF(ISNUMBER(Datos!BX17),Datos!BX17," - ")</f>
        <v xml:space="preserve"> - </v>
      </c>
      <c r="AL17" s="266">
        <f>IF(ISNUMBER(NºAsuntos!G17/NºAsuntos!E17),NºAsuntos!G17/NºAsuntos!E17," - ")</f>
        <v>1.0245398773006136</v>
      </c>
      <c r="AM17" s="284">
        <f>IF(ISNUMBER(((NºAsuntos!I17/NºAsuntos!G17)*11)/factor_trimestre),((NºAsuntos!I17/NºAsuntos!G17)*11)/factor_trimestre," - ")</f>
        <v>2.8257485029940121</v>
      </c>
      <c r="AN17" s="267">
        <f>IF(ISNUMBER('Resol  Asuntos'!D17/NºAsuntos!G17),'Resol  Asuntos'!D17/NºAsuntos!G17," - ")</f>
        <v>0.20119760479041915</v>
      </c>
      <c r="AO17" s="268">
        <f>IF(ISNUMBER((NºAsuntos!C17+NºAsuntos!E17)/NºAsuntos!G17),(NºAsuntos!C17+NºAsuntos!E17)/NºAsuntos!G17," - ")</f>
        <v>1.788622754491018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237</v>
      </c>
      <c r="X18" s="240">
        <f>IF(ISNUMBER(Datos!Q18),Datos!Q18," - ")</f>
        <v>2</v>
      </c>
      <c r="Y18" s="374">
        <f t="shared" si="9"/>
        <v>239</v>
      </c>
      <c r="Z18" s="375" t="str">
        <f>IF(ISNUMBER(Datos!CC18),Datos!CC18," - ")</f>
        <v xml:space="preserve"> - </v>
      </c>
      <c r="AA18" s="372">
        <f>IF(ISNUMBER(Datos!L18),Datos!L18,"-")</f>
        <v>223</v>
      </c>
      <c r="AB18" s="374">
        <f>IF(ISNUMBER(Datos!R18),Datos!R18," - ")</f>
        <v>0</v>
      </c>
      <c r="AC18" s="374">
        <f t="shared" si="8"/>
        <v>223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1.0580357142857142</v>
      </c>
      <c r="AM18" s="284">
        <f>IF(ISNUMBER(((NºAsuntos!I18/NºAsuntos!G18)*11)/factor_trimestre),((NºAsuntos!I18/NºAsuntos!G18)*11)/factor_trimestre," - ")</f>
        <v>2.8227848101265827</v>
      </c>
      <c r="AN18" s="267">
        <f>IF(ISNUMBER('Resol  Asuntos'!D18/NºAsuntos!G18),'Resol  Asuntos'!D18/NºAsuntos!G18," - ")</f>
        <v>5.9071729957805907E-2</v>
      </c>
      <c r="AO18" s="268">
        <f>IF(ISNUMBER((NºAsuntos!C18+NºAsuntos!E18)/NºAsuntos!G18),(NºAsuntos!C18+NºAsuntos!E18)/NºAsuntos!G18," - ")</f>
        <v>1.9324894514767932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1613</v>
      </c>
      <c r="G23" s="1163">
        <f>SUBTOTAL(9,G16:G22)</f>
        <v>1591</v>
      </c>
      <c r="H23" s="1162">
        <f t="shared" ref="H23:O23" si="13">SUBTOTAL(9,H15:H22)</f>
        <v>0</v>
      </c>
      <c r="I23" s="1164">
        <f t="shared" si="13"/>
        <v>0</v>
      </c>
      <c r="J23" s="1164">
        <f t="shared" si="13"/>
        <v>0</v>
      </c>
      <c r="K23" s="1164">
        <f t="shared" si="13"/>
        <v>0</v>
      </c>
      <c r="L23" s="1164">
        <f t="shared" si="13"/>
        <v>99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1907</v>
      </c>
      <c r="X23" s="1164">
        <f t="shared" si="14"/>
        <v>99</v>
      </c>
      <c r="Y23" s="1165">
        <f t="shared" si="14"/>
        <v>2006</v>
      </c>
      <c r="Z23" s="1165">
        <f t="shared" si="14"/>
        <v>0</v>
      </c>
      <c r="AA23" s="1165">
        <f t="shared" si="14"/>
        <v>1796</v>
      </c>
      <c r="AB23" s="1165">
        <f t="shared" si="14"/>
        <v>551</v>
      </c>
      <c r="AC23" s="1165">
        <f t="shared" si="14"/>
        <v>2347</v>
      </c>
      <c r="AD23" s="1165">
        <f t="shared" si="14"/>
        <v>0</v>
      </c>
      <c r="AE23" s="1169">
        <f t="shared" si="14"/>
        <v>0</v>
      </c>
      <c r="AF23" s="1162">
        <f t="shared" si="14"/>
        <v>0</v>
      </c>
      <c r="AG23" s="1170">
        <f t="shared" si="14"/>
        <v>0</v>
      </c>
      <c r="AH23" s="1167">
        <f t="shared" si="14"/>
        <v>0</v>
      </c>
      <c r="AI23" s="1162">
        <f t="shared" si="14"/>
        <v>350</v>
      </c>
      <c r="AJ23" s="1164">
        <f t="shared" si="14"/>
        <v>0</v>
      </c>
      <c r="AK23" s="1167">
        <f t="shared" si="14"/>
        <v>0</v>
      </c>
      <c r="AL23" s="1171">
        <f>IF(ISNUMBER(NºAsuntos!G23/NºAsuntos!E23),NºAsuntos!G23/NºAsuntos!E23," - ")</f>
        <v>1.028586839266451</v>
      </c>
      <c r="AM23" s="1171">
        <f>IF(ISNUMBER(((NºAsuntos!I23/NºAsuntos!G23)*11)/factor_trimestre),((NºAsuntos!I23/NºAsuntos!G23)*11)/factor_trimestre," - ")</f>
        <v>2.825380178290509</v>
      </c>
      <c r="AN23" s="1172">
        <f>IF(ISNUMBER('Resol  Asuntos'!D23/NºAsuntos!G23),'Resol  Asuntos'!D23/NºAsuntos!G23," - ")</f>
        <v>0.18353434714210803</v>
      </c>
      <c r="AO23" s="1173">
        <f>IF(ISNUMBER((NºAsuntos!C23+NºAsuntos!E23)/NºAsuntos!G23),(NºAsuntos!C23+NºAsuntos!E23)/NºAsuntos!G23," - ")</f>
        <v>1.8065023597273204</v>
      </c>
      <c r="AP23" s="1174" t="str">
        <f t="shared" si="2"/>
        <v xml:space="preserve"> - </v>
      </c>
      <c r="AQ23" s="1174">
        <f>IF(ISNUMBER((H23-W23+K23)/(F23)),(H23-W23+K23)/(F23)," - ")</f>
        <v>-1.1822690638561686</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1691</v>
      </c>
      <c r="G31" s="1118">
        <f t="shared" si="20"/>
        <v>1669</v>
      </c>
      <c r="H31" s="1117">
        <f t="shared" si="20"/>
        <v>0</v>
      </c>
      <c r="I31" s="1119">
        <f t="shared" si="20"/>
        <v>0</v>
      </c>
      <c r="J31" s="1119">
        <f t="shared" si="20"/>
        <v>0</v>
      </c>
      <c r="K31" s="1180">
        <f t="shared" si="20"/>
        <v>0</v>
      </c>
      <c r="L31" s="1119">
        <f t="shared" si="20"/>
        <v>420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1918</v>
      </c>
      <c r="X31" s="1118">
        <f t="shared" si="21"/>
        <v>299</v>
      </c>
      <c r="Y31" s="1125">
        <f t="shared" si="21"/>
        <v>2217</v>
      </c>
      <c r="Z31" s="1125">
        <f t="shared" si="21"/>
        <v>0</v>
      </c>
      <c r="AA31" s="1125">
        <f t="shared" si="21"/>
        <v>1878</v>
      </c>
      <c r="AB31" s="1125">
        <f t="shared" si="21"/>
        <v>8082</v>
      </c>
      <c r="AC31" s="1125">
        <f t="shared" si="21"/>
        <v>2517</v>
      </c>
      <c r="AD31" s="1125">
        <f t="shared" si="21"/>
        <v>0</v>
      </c>
      <c r="AE31" s="1127">
        <f t="shared" si="21"/>
        <v>0</v>
      </c>
      <c r="AF31" s="1128">
        <f t="shared" si="21"/>
        <v>0</v>
      </c>
      <c r="AG31" s="1129">
        <f t="shared" si="21"/>
        <v>0</v>
      </c>
      <c r="AH31" s="1127">
        <f t="shared" si="21"/>
        <v>0</v>
      </c>
      <c r="AI31" s="1117">
        <f t="shared" si="21"/>
        <v>698</v>
      </c>
      <c r="AJ31" s="1117">
        <f t="shared" si="21"/>
        <v>0</v>
      </c>
      <c r="AK31" s="1127">
        <f t="shared" si="21"/>
        <v>0</v>
      </c>
      <c r="AL31" s="1183">
        <f>IF(ISNUMBER(NºAsuntos!G31/NºAsuntos!E31),NºAsuntos!G31/NºAsuntos!E31," - ")</f>
        <v>0.94071762870514819</v>
      </c>
      <c r="AM31" s="1184">
        <f>IF(ISNUMBER(((NºAsuntos!I31/NºAsuntos!G31)*11)/factor_trimestre),((NºAsuntos!I31/NºAsuntos!G31)*11)/factor_trimestre," - ")</f>
        <v>6.5298507462686572</v>
      </c>
      <c r="AN31" s="1184">
        <f>IF(ISNUMBER('Resol  Asuntos'!D31/NºAsuntos!G31),'Resol  Asuntos'!D31/NºAsuntos!G31," - ")</f>
        <v>0.19292426755113323</v>
      </c>
      <c r="AO31" s="1185">
        <f>IF(ISNUMBER((NºAsuntos!C31+NºAsuntos!E31)/NºAsuntos!G31),(NºAsuntos!C31+NºAsuntos!E31)/NºAsuntos!G31," - ")</f>
        <v>3.0110558319513543</v>
      </c>
      <c r="AP31" s="1186" t="str">
        <f t="shared" si="2"/>
        <v xml:space="preserve"> - </v>
      </c>
      <c r="AQ31" s="1187">
        <f>IF(OR(ISNUMBER(FIND("01",Criterios!A8,1)),ISNUMBER(FIND("02",Criterios!A8,1)),ISNUMBER(FIND("03",Criterios!A8,1)),ISNUMBER(FIND("04",Criterios!A8,1))),(I31-W31+K31)/(F31-K31),(H31-W31+K31)/(F31-K31))</f>
        <v>-1.1342400946185689</v>
      </c>
      <c r="AR31" s="1188">
        <f>IF(ISNUMBER((Datos!P31-Datos!Q31)/(Datos!R31-Datos!P31+Datos!Q31)),(Datos!P31-Datos!Q31)/(Datos!R31-Datos!P31+Datos!Q31)," - ")</f>
        <v>1.5199095591006155E-2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476.85714285714283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813.55827490516413</v>
      </c>
      <c r="G33" s="277">
        <f>IF(ISNUMBER(STDEV(G8:G30)),STDEV(G8:G30),"-")</f>
        <v>688.94906163214239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854.3839886140189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181.83430447996957</v>
      </c>
      <c r="AJ33" s="276">
        <f t="shared" si="25"/>
        <v>0</v>
      </c>
      <c r="AK33" s="278">
        <f t="shared" si="25"/>
        <v>0</v>
      </c>
      <c r="AL33" s="273">
        <f t="shared" si="25"/>
        <v>0.12934251135804922</v>
      </c>
      <c r="AM33" s="274">
        <f t="shared" si="25"/>
        <v>7.7153621287055811</v>
      </c>
      <c r="AN33" s="274">
        <f t="shared" si="25"/>
        <v>9.6848594848459577E-2</v>
      </c>
      <c r="AO33" s="275">
        <f t="shared" si="25"/>
        <v>2.5981986587848982</v>
      </c>
      <c r="AP33" s="317" t="str">
        <f t="shared" si="25"/>
        <v>-</v>
      </c>
      <c r="AQ33" s="318">
        <f t="shared" si="25"/>
        <v>0.73627028514935777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zCBfdlJVT7IOZ/rQPJSpLRGFugNuAliga2HsyBuUEFUzP07HYxB1c14ziQmXjNSvPVjE02LmDZZRNXD8w7Mog==" saltValue="8t09XUlGFaGcudvfYeF8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NAVALCARNERO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8.3333333333333329E-2</v>
      </c>
      <c r="E10" s="393">
        <f>IF(ISNUMBER((Datos!J10-Datos!T10)/Datos!T10),(Datos!J10-Datos!T10)/Datos!T10," - ")</f>
        <v>-0.11764705882352941</v>
      </c>
      <c r="F10" s="393">
        <f>IF(ISNUMBER((Datos!K10-Datos!U10)/Datos!U10),(Datos!K10-Datos!U10)/Datos!U10," - ")</f>
        <v>-0.35294117647058826</v>
      </c>
      <c r="G10" s="394">
        <f>IF(ISNUMBER((Datos!L10-Datos!V10)/Datos!V10),(Datos!L10-Datos!V10)/Datos!V10," - ")</f>
        <v>0.1388888888888889</v>
      </c>
      <c r="H10" s="244">
        <f>IF(ISNUMBER((Datos!M10-Datos!W10)/Datos!W10),(Datos!M10-Datos!W10)/Datos!W10," - ")</f>
        <v>-0.6</v>
      </c>
      <c r="I10" s="395">
        <f>IF(ISNUMBER((Tasas!C10-Datos!BE10)/Datos!BE10),(Tasas!C10-Datos!BE10)/Datos!BE10," - ")</f>
        <v>0.76010101010100994</v>
      </c>
      <c r="J10" s="394">
        <f>IF(ISNUMBER((Tasas!D10-Datos!BF10)/Datos!BF10),(Tasas!D10-Datos!BF10)/Datos!BF10," - ")</f>
        <v>-0.38181818181818183</v>
      </c>
      <c r="K10" s="396">
        <f>IF(ISNUMBER((Tasas!E10-Datos!BG10)/Datos!BG10),(Tasas!E10-Datos!BG10)/Datos!BG10," - ")</f>
        <v>0.6149131767109296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7.4999999999999997E-2</v>
      </c>
      <c r="I12" s="395">
        <f>IF(ISNUMBER((Tasas!C12-Datos!BE12)/Datos!BE12),(Tasas!C12-Datos!BE12)/Datos!BE12," - ")</f>
        <v>0.69555750021343832</v>
      </c>
      <c r="J12" s="394">
        <f>IF(ISNUMBER((Tasas!D12-Datos!BF12)/Datos!BF12),(Tasas!D12-Datos!BF12)/Datos!BF12," - ")</f>
        <v>-0.58719168981761083</v>
      </c>
      <c r="K12" s="396">
        <f>IF(ISNUMBER((Tasas!E12-Datos!BG12)/Datos!BG12),(Tasas!E12-Datos!BG12)/Datos!BG12," - ")</f>
        <v>0.40856256263973484</v>
      </c>
      <c r="M12" t="e">
        <f>IF(Monitorios="SI",Datos!CE12,0)</f>
        <v>#REF!</v>
      </c>
      <c r="N12" t="e">
        <f>IF(Monitorios="SI",Datos!CF12,0)</f>
        <v>#REF!</v>
      </c>
      <c r="O12" t="e">
        <f>IF(Monitorios="SI",Datos!CG12,0)</f>
        <v>#REF!</v>
      </c>
      <c r="P12" t="e">
        <f>IF(Monitorios="SI",Datos!CH12,0)</f>
        <v>#REF!</v>
      </c>
      <c r="Q12">
        <f>IF(J_V="SI",0,Datos!AG12)</f>
        <v>303</v>
      </c>
      <c r="R12">
        <f>IF(J_V="SI",0,Datos!AH12)</f>
        <v>299</v>
      </c>
      <c r="S12">
        <f>IF(J_V="SI",0,Datos!AI12)</f>
        <v>354</v>
      </c>
      <c r="T12">
        <f>IF(J_V="SI",0,Datos!AJ12)</f>
        <v>248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5.4545454545454543E-2</v>
      </c>
      <c r="I14" s="402">
        <f>IF(ISNUMBER((Tasas!C14-Datos!BE14)/Datos!BE14),(Tasas!C14-Datos!BE14)/Datos!BE14," - ")</f>
        <v>0.69281922543648522</v>
      </c>
      <c r="J14" s="400">
        <f>IF(ISNUMBER((Tasas!D14-Datos!BF14)/Datos!BF14),(Tasas!D14-Datos!BF14)/Datos!BF14," - ")</f>
        <v>-0.58577924762298461</v>
      </c>
      <c r="K14" s="403">
        <f>IF(ISNUMBER((Tasas!E14-Datos!BG14)/Datos!BG14),(Tasas!E14-Datos!BG14)/Datos!BG14," - ")</f>
        <v>0.40878462070871852</v>
      </c>
      <c r="M14" t="e">
        <f>IF(Monitorios="SI",Datos!CE14,0)</f>
        <v>#REF!</v>
      </c>
      <c r="N14" t="e">
        <f>IF(Monitorios="SI",Datos!CF14,0)</f>
        <v>#REF!</v>
      </c>
      <c r="O14" t="e">
        <f>IF(Monitorios="SI",Datos!CG14,0)</f>
        <v>#REF!</v>
      </c>
      <c r="P14" t="e">
        <f>IF(Monitorios="SI",Datos!CH14,0)</f>
        <v>#REF!</v>
      </c>
      <c r="Q14">
        <f>IF(J_V="SI",0,Datos!AG14)</f>
        <v>303</v>
      </c>
      <c r="R14">
        <f>IF(J_V="SI",0,Datos!AH14)</f>
        <v>299</v>
      </c>
      <c r="S14">
        <f>IF(J_V="SI",0,Datos!AI14)</f>
        <v>354</v>
      </c>
      <c r="T14">
        <f>IF(J_V="SI",0,Datos!AJ14)</f>
        <v>248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0.15293118096856415</v>
      </c>
      <c r="E17" s="393">
        <f>IF(ISNUMBER(
   IF(D_I="SI",(Datos!J17-Datos!T17)/Datos!T17,(Datos!J17+Datos!AD17-(Datos!T17+Datos!AL17))/(Datos!T17+Datos!AL17))
     ),IF(D_I="SI",(Datos!J17-Datos!T17)/Datos!T17,(Datos!J17+Datos!AD17-(Datos!T17+Datos!AL17))/(Datos!T17+Datos!AL17))," - ")</f>
        <v>0.17350611951043918</v>
      </c>
      <c r="F17" s="393">
        <f>IF(ISNUMBER(
   IF(D_I="SI",(Datos!K17-Datos!U17)/Datos!U17,(Datos!K17+Datos!AE17-(Datos!U17+Datos!AM17))/(Datos!U17+Datos!AM17))
     ),IF(D_I="SI",(Datos!K17-Datos!U17)/Datos!U17,(Datos!K17+Datos!AE17-(Datos!U17+Datos!AM17))/(Datos!U17+Datos!AM17))," - ")</f>
        <v>0.24255952380952381</v>
      </c>
      <c r="G17" s="394">
        <f>IF(ISNUMBER(
   IF(D_I="SI",(Datos!L17-Datos!V17)/Datos!V17,(Datos!L17+Datos!AF17-(Datos!V17+Datos!AN17))/(Datos!V17+Datos!AN17))
     ),IF(D_I="SI",(Datos!L17-Datos!V17)/Datos!V17,(Datos!L17+Datos!AF17-(Datos!V17+Datos!AN17))/(Datos!V17+Datos!AN17))," - ")</f>
        <v>0.2573940847322142</v>
      </c>
      <c r="H17" s="244">
        <f>IF(ISNUMBER((Datos!M17-Datos!W17)/Datos!W17),(Datos!M17-Datos!W17)/Datos!W17," - ")</f>
        <v>0.30232558139534882</v>
      </c>
      <c r="I17" s="395">
        <f>IF(ISNUMBER((Tasas!C17-Datos!BE17)/Datos!BE17),(Tasas!C17-Datos!BE17)/Datos!BE17," - ")</f>
        <v>1.1938712503051507E-2</v>
      </c>
      <c r="J17" s="394">
        <f>IF(ISNUMBER((Tasas!D17-Datos!BF17)/Datos!BF17),(Tasas!D17-Datos!BF17)/Datos!BF17," - ")</f>
        <v>4.8099150536136899E-2</v>
      </c>
      <c r="K17" s="396">
        <f>IF(ISNUMBER((Tasas!E17-Datos!BG17)/Datos!BG17),(Tasas!E17-Datos!BG17)/Datos!BG17," - ")</f>
        <v>-6.3168752129412212E-2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2.4411764705882355</v>
      </c>
      <c r="E18" s="393">
        <f>IF(ISNUMBER(
   IF(D_I="SI",(Datos!J18-Datos!T18)/Datos!T18,(Datos!J18+Datos!AD18-(Datos!T18+Datos!AL18))/(Datos!T18+Datos!AL18))
     ),IF(D_I="SI",(Datos!J18-Datos!T18)/Datos!T18,(Datos!J18+Datos!AD18-(Datos!T18+Datos!AL18))/(Datos!T18+Datos!AL18))," - ")</f>
        <v>1.3578947368421053</v>
      </c>
      <c r="F18" s="393">
        <f>IF(ISNUMBER(
   IF(D_I="SI",(Datos!K18-Datos!U18)/Datos!U18,(Datos!K18+Datos!AE18-(Datos!U18+Datos!AM18))/(Datos!U18+Datos!AM18))
     ),IF(D_I="SI",(Datos!K18-Datos!U18)/Datos!U18,(Datos!K18+Datos!AE18-(Datos!U18+Datos!AM18))/(Datos!U18+Datos!AM18))," - ")</f>
        <v>3.5576923076923075</v>
      </c>
      <c r="G18" s="394">
        <f>IF(ISNUMBER(
   IF(D_I="SI",(Datos!L18-Datos!V18)/Datos!V18,(Datos!L18+Datos!AF18-(Datos!V18+Datos!AN18))/(Datos!V18+Datos!AN18))
     ),IF(D_I="SI",(Datos!L18-Datos!V18)/Datos!V18,(Datos!L18+Datos!AF18-(Datos!V18+Datos!AN18))/(Datos!V18+Datos!AN18))," - ")</f>
        <v>1.0090090090090089</v>
      </c>
      <c r="H18" s="244">
        <f>IF(ISNUMBER((Datos!M18-Datos!W18)/Datos!W18),(Datos!M18-Datos!W18)/Datos!W18," - ")</f>
        <v>1</v>
      </c>
      <c r="I18" s="395">
        <f>IF(ISNUMBER((Tasas!C18-Datos!BE18)/Datos!BE18),(Tasas!C18-Datos!BE18)/Datos!BE18," - ")</f>
        <v>-0.55920477439464777</v>
      </c>
      <c r="J18" s="394">
        <f>IF(ISNUMBER((Tasas!D18-Datos!BF18)/Datos!BF18),(Tasas!D18-Datos!BF18)/Datos!BF18," - ")</f>
        <v>-0.56118143459915615</v>
      </c>
      <c r="K18" s="396">
        <f>IF(ISNUMBER((Tasas!E18-Datos!BG18)/Datos!BG18),(Tasas!E18-Datos!BG18)/Datos!BG18," - ")</f>
        <v>-0.38350029768838501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0.27791164658634537</v>
      </c>
      <c r="E23" s="399">
        <f>IF(ISNUMBER(
   IF(D_I="SI",(Datos!J23-Datos!T23)/Datos!T23,(Datos!J23+Datos!AD23-(Datos!T23+Datos!AL23))/(Datos!T23+Datos!AL23))
     ),IF(D_I="SI",(Datos!J23-Datos!T23)/Datos!T23,(Datos!J23+Datos!AD23-(Datos!T23+Datos!AL23))/(Datos!T23+Datos!AL23))," - ")</f>
        <v>0.24932614555256064</v>
      </c>
      <c r="F23" s="399">
        <f>IF(ISNUMBER(
   IF(D_I="SI",(Datos!K23-Datos!U23)/Datos!U23,(Datos!K23+Datos!AE23-(Datos!U23+Datos!AM23))/(Datos!U23+Datos!AM23))
     ),IF(D_I="SI",(Datos!K23-Datos!U23)/Datos!U23,(Datos!K23+Datos!AE23-(Datos!U23+Datos!AM23))/(Datos!U23+Datos!AM23))," - ")</f>
        <v>0.36604584527220629</v>
      </c>
      <c r="G23" s="400">
        <f>IF(ISNUMBER(
   IF(D_I="SI",(Datos!L23-Datos!V23)/Datos!V23,(Datos!L23+Datos!AF23-(Datos!V23+Datos!AN23))/(Datos!V23+Datos!AN23))
     ),IF(D_I="SI",(Datos!L23-Datos!V23)/Datos!V23,(Datos!L23+Datos!AF23-(Datos!V23+Datos!AN23))/(Datos!V23+Datos!AN23))," - ")</f>
        <v>0.3186490455212922</v>
      </c>
      <c r="H23" s="401">
        <f>IF(ISNUMBER((Datos!M23-Datos!W23)/Datos!W23),(Datos!M23-Datos!W23)/Datos!W23," - ")</f>
        <v>0.32075471698113206</v>
      </c>
      <c r="I23" s="402">
        <f>IF(ISNUMBER((Tasas!C23-Datos!BE23)/Datos!BE23),(Tasas!C23-Datos!BE23)/Datos!BE23," - ")</f>
        <v>-3.4696346330506583E-2</v>
      </c>
      <c r="J23" s="400">
        <f>IF(ISNUMBER((Tasas!D23-Datos!BF23)/Datos!BF23),(Tasas!D23-Datos!BF23)/Datos!BF23," - ")</f>
        <v>-3.3154910904215837E-2</v>
      </c>
      <c r="K23" s="403">
        <f>IF(ISNUMBER((Tasas!E23-Datos!BG23)/Datos!BG23),(Tasas!E23-Datos!BG23)/Datos!BG23," - ")</f>
        <v>-7.5896924082323403E-2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0.24084507042253522</v>
      </c>
      <c r="E31" s="409">
        <f>IF(ISNUMBER(
   IF(J_V="SI",(Datos!J31-Datos!T31)/Datos!T31,(Datos!J31+Datos!Z31-(Datos!T31+Datos!AH31))/(Datos!T31+Datos!AH31))
     ),IF(J_V="SI",(Datos!J31-Datos!T31)/Datos!T31,(Datos!J31+Datos!Z31-(Datos!T31+Datos!AH31))/(Datos!T31+Datos!AH31))," - ")</f>
        <v>0.18630475015422579</v>
      </c>
      <c r="F31" s="409">
        <f>IF(ISNUMBER(
   IF(J_V="SI",(Datos!K31-Datos!U31)/Datos!U31,(Datos!K31+Datos!AA31-(Datos!U31+Datos!AI31))/(Datos!U31+Datos!AI31))
     ),IF(J_V="SI",(Datos!K31-Datos!U31)/Datos!U31,(Datos!K31+Datos!AA31-(Datos!U31+Datos!AI31))/(Datos!U31+Datos!AI31))," - ")</f>
        <v>6.4117647058823529E-2</v>
      </c>
      <c r="G31" s="410">
        <f>IF(ISNUMBER(
   IF(J_V="SI",(Datos!L31-Datos!V31)/Datos!V31,(Datos!L31+Datos!AB31-(Datos!V31+Datos!AJ31))/(Datos!V31+Datos!AJ31))
     ),IF(J_V="SI",(Datos!L31-Datos!V31)/Datos!V31,(Datos!L31+Datos!AB31-(Datos!V31+Datos!AJ31))/(Datos!V31+Datos!AJ31))," - ")</f>
        <v>0.41433189655172414</v>
      </c>
      <c r="H31" s="411">
        <f>IF(ISNUMBER((Datos!M31-Datos!W31)/Datos!W31),(Datos!M31-Datos!W31)/Datos!W31," - ")</f>
        <v>0.17310924369747899</v>
      </c>
      <c r="I31" s="408">
        <f>IF(ISNUMBER((Tasas!C31-Datos!BE31)/Datos!BE31),(Tasas!C31-Datos!BE31)/Datos!BE31," - ")</f>
        <v>0.32911234059587119</v>
      </c>
      <c r="J31" s="409">
        <f>IF(ISNUMBER((Tasas!D31-Datos!BF31)/Datos!BF31),(Tasas!D31-Datos!BF31)/Datos!BF31," - ")</f>
        <v>-0.47482585294327223</v>
      </c>
      <c r="K31" s="410">
        <f>IF(ISNUMBER((Tasas!E31-Datos!BG31)/Datos!BG31),(Tasas!E31-Datos!BG31)/Datos!BG31," - ")</f>
        <v>0.14745458738338993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1.1377437526855678</v>
      </c>
      <c r="E33" s="303">
        <f t="shared" si="1"/>
        <v>0.64769543328299262</v>
      </c>
      <c r="F33" s="303">
        <f t="shared" si="1"/>
        <v>1.7643832505148047</v>
      </c>
      <c r="G33" s="304">
        <f t="shared" si="1"/>
        <v>0.39250692802758991</v>
      </c>
      <c r="H33" s="310">
        <f t="shared" si="1"/>
        <v>0.51796914924734827</v>
      </c>
      <c r="I33" s="302">
        <f t="shared" si="1"/>
        <v>0.53788726784975682</v>
      </c>
      <c r="J33" s="303">
        <f t="shared" si="1"/>
        <v>0.28856032815686716</v>
      </c>
      <c r="K33" s="304">
        <f t="shared" si="1"/>
        <v>0.38237300686659109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wuCP5XlpxjdFroXVSz/iwRb7V8zyu95murY0LAvRM6WWCRBLancy79yhAyH8706wm63jiXJda7ZmoVg9sujQg==" saltValue="IEJEC53bwvAu5IweXz6M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